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00" windowHeight="7470" tabRatio="901" activeTab="4"/>
  </bookViews>
  <sheets>
    <sheet name="2018" sheetId="1" r:id="rId1"/>
    <sheet name="2019" sheetId="2" r:id="rId2"/>
    <sheet name="2020" sheetId="3" r:id="rId3"/>
    <sheet name="2021" sheetId="4" r:id="rId4"/>
    <sheet name="2021 res 5008" sheetId="5" r:id="rId5"/>
  </sheets>
  <externalReferences>
    <externalReference r:id="rId8"/>
  </externalReferences>
  <definedNames>
    <definedName name="cuota" localSheetId="0">#REF!</definedName>
    <definedName name="cuota" localSheetId="1">#REF!</definedName>
    <definedName name="cuota" localSheetId="2">#REF!</definedName>
    <definedName name="cuota" localSheetId="3">#REF!</definedName>
    <definedName name="cuota" localSheetId="4">#REF!</definedName>
    <definedName name="cuota">#REF!</definedName>
    <definedName name="mes" localSheetId="0">#REF!</definedName>
    <definedName name="mes" localSheetId="1">#REF!</definedName>
    <definedName name="mes" localSheetId="2">#REF!</definedName>
    <definedName name="mes" localSheetId="3">#REF!</definedName>
    <definedName name="mes" localSheetId="4">#REF!</definedName>
    <definedName name="mes">#REF!</definedName>
    <definedName name="tabla" localSheetId="0">#REF!</definedName>
    <definedName name="tabla" localSheetId="1">#REF!</definedName>
    <definedName name="tabla" localSheetId="2">#REF!</definedName>
    <definedName name="tabla" localSheetId="3">#REF!</definedName>
    <definedName name="tabla" localSheetId="4">#REF!</definedName>
    <definedName name="tabla">#REF!</definedName>
  </definedNames>
  <calcPr fullCalcOnLoad="1"/>
</workbook>
</file>

<file path=xl/sharedStrings.xml><?xml version="1.0" encoding="utf-8"?>
<sst xmlns="http://schemas.openxmlformats.org/spreadsheetml/2006/main" count="1224" uniqueCount="198">
  <si>
    <t>Sueldo Fijo</t>
  </si>
  <si>
    <t>Sueldo No rem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</si>
  <si>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</si>
  <si>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</si>
  <si>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</si>
  <si>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</si>
  <si>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</si>
  <si>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</si>
  <si>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</si>
  <si>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</si>
  <si>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</si>
  <si>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</si>
  <si>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</si>
  <si>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</si>
  <si>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</si>
  <si>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Jubilacion</t>
  </si>
  <si>
    <t>Mopre</t>
  </si>
  <si>
    <t>Dias mopre</t>
  </si>
  <si>
    <t>Dias de SAC mopre</t>
  </si>
  <si>
    <t>Ley 19032</t>
  </si>
  <si>
    <t>O. Social</t>
  </si>
  <si>
    <t>Sindicato</t>
  </si>
  <si>
    <t>Obra social Privada</t>
  </si>
  <si>
    <t>Gratificacion / Premio prorrateable</t>
  </si>
  <si>
    <t>SAC Gratificacion Premio Prorrateable</t>
  </si>
  <si>
    <t>Vacaciones</t>
  </si>
  <si>
    <t>Dto Vacaciones</t>
  </si>
  <si>
    <t>Dias Vacaciones</t>
  </si>
  <si>
    <t>Gratificaciones por Cese / Indemn</t>
  </si>
  <si>
    <t>Total Descuentos</t>
  </si>
  <si>
    <t>Neto</t>
  </si>
  <si>
    <t>Conceptos indemnizatorios</t>
  </si>
  <si>
    <t xml:space="preserve">Otros Beneficios </t>
  </si>
  <si>
    <t xml:space="preserve">Mes </t>
  </si>
  <si>
    <t>Art 90</t>
  </si>
  <si>
    <t>GNI</t>
  </si>
  <si>
    <t>Cónyuge</t>
  </si>
  <si>
    <t>Hijos</t>
  </si>
  <si>
    <t>Deducción Especial</t>
  </si>
  <si>
    <t>Servicio Doméstico</t>
  </si>
  <si>
    <t>Primas de seguro</t>
  </si>
  <si>
    <t>Gastos de sepelio</t>
  </si>
  <si>
    <t>Intereses Hipotecarios</t>
  </si>
  <si>
    <t>Alquileres</t>
  </si>
  <si>
    <t>APORTES CAJAS PREVISIONALES</t>
  </si>
  <si>
    <t>SIN LIMIETE</t>
  </si>
  <si>
    <t>Viaticos</t>
  </si>
  <si>
    <t>Aporte SGR</t>
  </si>
  <si>
    <t>PLAN MEDICO</t>
  </si>
  <si>
    <t>5% GCIA</t>
  </si>
  <si>
    <t>DONACIONES</t>
  </si>
  <si>
    <t>HONORARIOS MEDICOS</t>
  </si>
  <si>
    <t>De más de $</t>
  </si>
  <si>
    <t>a$</t>
  </si>
  <si>
    <t>$ fijo</t>
  </si>
  <si>
    <t>Más es %</t>
  </si>
  <si>
    <t>s/exed.de %</t>
  </si>
  <si>
    <t>Deducciones F572</t>
  </si>
  <si>
    <t>Cantidad</t>
  </si>
  <si>
    <t>DDJJ</t>
  </si>
  <si>
    <t>Liquidacion</t>
  </si>
  <si>
    <t>Total</t>
  </si>
  <si>
    <t>Descuentos</t>
  </si>
  <si>
    <t>Gcias bruta</t>
  </si>
  <si>
    <t>Deducciones personales</t>
  </si>
  <si>
    <t>Art 23 Cargas de Familia</t>
  </si>
  <si>
    <t>Deducicones Grales</t>
  </si>
  <si>
    <t>Deduccion Especial</t>
  </si>
  <si>
    <t>Total Dto ley</t>
  </si>
  <si>
    <t>Gcia neta sujeta a impuesto</t>
  </si>
  <si>
    <t>Impuesto</t>
  </si>
  <si>
    <t>Impuesto retenido</t>
  </si>
  <si>
    <t>Aportes Jubilatorios cajas Prov.</t>
  </si>
  <si>
    <t>Topes</t>
  </si>
  <si>
    <t>Seguro Vida</t>
  </si>
  <si>
    <t>Gtos de Sepelio</t>
  </si>
  <si>
    <t>Int. Hipetecarios</t>
  </si>
  <si>
    <t>Servicio Domestico</t>
  </si>
  <si>
    <t>Plan Medico</t>
  </si>
  <si>
    <t>Donaciones</t>
  </si>
  <si>
    <t>Honorarios Medicos</t>
  </si>
  <si>
    <t>Total Ded Personales</t>
  </si>
  <si>
    <t>Gcias Base tope 5%</t>
  </si>
  <si>
    <t>Total Deducciones Tope 5%</t>
  </si>
  <si>
    <t>Total Ded Generales</t>
  </si>
  <si>
    <t>Pagos a Cuenta</t>
  </si>
  <si>
    <t>Impuesto Total</t>
  </si>
  <si>
    <t>Divisor del prorrateo</t>
  </si>
  <si>
    <t>Tablas de Retencion ART 90</t>
  </si>
  <si>
    <t>Tabla</t>
  </si>
  <si>
    <t>Mes de liquidacion</t>
  </si>
  <si>
    <t>NOMBRE Y APELLIDO</t>
  </si>
  <si>
    <t>LEGAJO</t>
  </si>
  <si>
    <t>Bruto TOPE GCIA</t>
  </si>
  <si>
    <t>Total Carga de familia</t>
  </si>
  <si>
    <t>Conceptos a prorratear</t>
  </si>
  <si>
    <t>ITEMS</t>
  </si>
  <si>
    <t>TABLAS</t>
  </si>
  <si>
    <t>Novedades del mes</t>
  </si>
  <si>
    <t>Mopre/Vac</t>
  </si>
  <si>
    <t>Mopre/SAC</t>
  </si>
  <si>
    <t>Mopre/Sueldo</t>
  </si>
  <si>
    <t>Mopre total</t>
  </si>
  <si>
    <t>OBRA SOCIAL PRIVADA</t>
  </si>
  <si>
    <t>Seguro de Vida</t>
  </si>
  <si>
    <t>Gastos de Sepelio</t>
  </si>
  <si>
    <t>Ganancias RH</t>
  </si>
  <si>
    <t>SAC (Solo imputa en diciembre)</t>
  </si>
  <si>
    <t>SAC imputacion mensual</t>
  </si>
  <si>
    <t>DIFERENCIA IMPUESTO</t>
  </si>
  <si>
    <t>Gcia neta p/establecer escala</t>
  </si>
  <si>
    <t>HORAS EXTRAS 50% EXENTAS</t>
  </si>
  <si>
    <t>HORAS EXTRAS 100% EXCENTAS</t>
  </si>
  <si>
    <t>HORAS EXTRAS 50%</t>
  </si>
  <si>
    <t>Total horas sin escala</t>
  </si>
  <si>
    <t xml:space="preserve">Total horas extras </t>
  </si>
  <si>
    <t>Descuentos SAC</t>
  </si>
  <si>
    <t>Sac sobre gratificacion</t>
  </si>
  <si>
    <t>Gratificacion no prorrateable</t>
  </si>
  <si>
    <t>HORAS EXTRAS 50% EXCENTAS</t>
  </si>
  <si>
    <t>SAC</t>
  </si>
  <si>
    <t>Dto seguro de vida</t>
  </si>
  <si>
    <t>ARTICULO 23 Ley 26731 - vigente 2018</t>
  </si>
  <si>
    <t xml:space="preserve">SAC </t>
  </si>
  <si>
    <t>Dto</t>
  </si>
  <si>
    <t>PREMIO BRAVO</t>
  </si>
  <si>
    <t>impuesto retenido anterior empleador</t>
  </si>
  <si>
    <t>Bruto 250.000</t>
  </si>
  <si>
    <t>ARTICULO 23 Ley 26731 - vigente 2020</t>
  </si>
  <si>
    <t>ARTICULO 23 Ley 26731 - vigente 2019</t>
  </si>
  <si>
    <t>Seguro  mixtos</t>
  </si>
  <si>
    <t>Seguro mixto</t>
  </si>
  <si>
    <t>Seguro Retiro</t>
  </si>
  <si>
    <t>otros descuentos</t>
  </si>
  <si>
    <t>Seguro de vida</t>
  </si>
  <si>
    <t>Seguro de retiro</t>
  </si>
  <si>
    <t>Viaticos Larga distancia</t>
  </si>
  <si>
    <t>viaticos larga distancia</t>
  </si>
  <si>
    <t>Premios</t>
  </si>
  <si>
    <t>Ganancia Excenta</t>
  </si>
  <si>
    <t>Beneficios Sanidad Excentos IG</t>
  </si>
  <si>
    <t>Dias de vacaciones p/mopre</t>
  </si>
  <si>
    <t>IMPUESTO</t>
  </si>
  <si>
    <t xml:space="preserve"> 33.039,81</t>
  </si>
  <si>
    <t>Oc 2018</t>
  </si>
  <si>
    <t>Oc 2019</t>
  </si>
  <si>
    <t>Renta minima 2019</t>
  </si>
  <si>
    <t>Indice de actualizacion RIPTE</t>
  </si>
  <si>
    <t>Datos de actualizacoin</t>
  </si>
  <si>
    <t>Ripte</t>
  </si>
  <si>
    <t>Valores</t>
  </si>
  <si>
    <t>Renta minima 2020</t>
  </si>
  <si>
    <t xml:space="preserve"> - Oct 2019</t>
  </si>
  <si>
    <t xml:space="preserve"> - Oct 2020</t>
  </si>
  <si>
    <t>Tablas de Retencion ART 94</t>
  </si>
  <si>
    <t>ARTICULO 30 Ley 26731 - vigente 2021</t>
  </si>
  <si>
    <t>Deduccion Especial tramo 1</t>
  </si>
  <si>
    <t>Ded 1er tramo</t>
  </si>
  <si>
    <t>Ded 2er tramo</t>
  </si>
  <si>
    <t>Deduccion Especial tramo 2</t>
  </si>
  <si>
    <t>Hijos - Disca</t>
  </si>
  <si>
    <t>Hijos discapacitados para el trab</t>
  </si>
  <si>
    <t>Cónyuge/Concubino</t>
  </si>
  <si>
    <t>Hijos discapacitados para el trabajo</t>
  </si>
  <si>
    <t xml:space="preserve">REMUNERACION A CONCIDERAR </t>
  </si>
  <si>
    <t>GANANCIA NETA</t>
  </si>
  <si>
    <t>Sueldo bruto mensual o promedio
Hasta</t>
  </si>
  <si>
    <t>Inciso c), punto 7)
del Art. 1</t>
  </si>
  <si>
    <t>Dif mes anterior</t>
  </si>
  <si>
    <t>REMUNERACION mes a conciderar</t>
  </si>
  <si>
    <t>REMUNERACION promedio a conciderar</t>
  </si>
  <si>
    <t>remuneraciones gravadas</t>
  </si>
  <si>
    <t>Remuneraciones no gravadas</t>
  </si>
  <si>
    <t>remuneraciones gravadas SAC</t>
  </si>
  <si>
    <t>Remuneraciones no gravadas SAC</t>
  </si>
  <si>
    <t>remuneraciones gravadas BONO</t>
  </si>
  <si>
    <t>Remuneraciones no gravadas BONO</t>
  </si>
  <si>
    <t>Tope 5%</t>
  </si>
  <si>
    <t>DDJJ siradig</t>
  </si>
  <si>
    <t>SAC Excento</t>
  </si>
  <si>
    <t>Bono Exento</t>
  </si>
  <si>
    <t xml:space="preserve">Bono Productividad </t>
  </si>
  <si>
    <t>Gratificacion/Premio Prorrateable</t>
  </si>
  <si>
    <t>Sac Bono productividad</t>
  </si>
  <si>
    <t>Conceptos indemnizatorios Gravados</t>
  </si>
  <si>
    <t>DEDUCCIONES</t>
  </si>
  <si>
    <t>SIRADIG OTROS EMPLEOS</t>
  </si>
  <si>
    <t>ANTERIOR</t>
  </si>
  <si>
    <t>Tabla nueva</t>
  </si>
  <si>
    <t>xxxxxxxxxxxxxxxxxxxxxxxxxxx</t>
  </si>
  <si>
    <t>xxxxxxxxxxxx</t>
  </si>
  <si>
    <t>INSJP</t>
  </si>
  <si>
    <t>Obra Social</t>
  </si>
  <si>
    <t>Ganancias Retenidas</t>
  </si>
  <si>
    <t>IMPUESTO dif</t>
  </si>
  <si>
    <t>Tabla 12</t>
  </si>
  <si>
    <t>diciembre</t>
  </si>
  <si>
    <t>Hijo discapacitado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</si>
</sst>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0_ ;[Red]\-#,##0.00\ "/>
    <numFmt numFmtId="173" formatCode="0.00_ ;[Red]\-0.00\ 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0_ ;[Red]\-0.000\ "/>
    <numFmt numFmtId="179" formatCode="0.0000_ ;[Red]\-0.0000\ "/>
    <numFmt numFmtId="180" formatCode="0.00000_ ;[Red]\-0.00000\ "/>
    <numFmt numFmtId="181" formatCode="0.000000_ ;[Red]\-0.000000\ "/>
    <numFmt numFmtId="182" formatCode="0.0000000_ ;[Red]\-0.0000000\ "/>
    <numFmt numFmtId="183" formatCode="0.000"/>
    <numFmt numFmtId="184" formatCode="0.0000"/>
    <numFmt numFmtId="185" formatCode="#,##0.000_ ;[Red]\-#,##0.000\ "/>
    <numFmt numFmtId="186" formatCode="#,##0.0000_ ;[Red]\-#,##0.0000\ "/>
    <numFmt numFmtId="187" formatCode="#,##0.00000_ ;[Red]\-#,##0.00000\ "/>
    <numFmt numFmtId="188" formatCode="#,##0.000000_ ;[Red]\-#,##0.000000\ "/>
    <numFmt numFmtId="189" formatCode="#,##0.0000000_ ;[Red]\-#,##0.00000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8"/>
      <color indexed="8"/>
      <name val="Verdana"/>
      <family val="2"/>
    </font>
    <font>
      <b/>
      <sz val="9"/>
      <name val="Calibri"/>
      <family val="2"/>
    </font>
    <font>
      <sz val="11"/>
      <name val="Calibri"/>
      <family val="2"/>
    </font>
    <font>
      <b/>
      <sz val="20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9"/>
      <color theme="0"/>
      <name val="Arial"/>
      <family val="2"/>
    </font>
    <font>
      <sz val="10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sz val="8"/>
      <color rgb="FF000000"/>
      <name val="Verdana"/>
      <family val="2"/>
    </font>
    <font>
      <b/>
      <sz val="20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>
        <color rgb="FF3D3D3D"/>
      </right>
      <top style="thin"/>
      <bottom style="thin"/>
    </border>
    <border>
      <left style="thin">
        <color rgb="FF3D3D3D"/>
      </left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398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  <xf numFmtId="0" fontId="51" fillId="17" borderId="0" xfId="0" applyFont="1" applyFill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1" fillId="0" borderId="0" xfId="0" applyFont="1" applyAlignment="1">
      <alignment/>
    </xf>
    <xf numFmtId="173" fontId="51" fillId="17" borderId="0" xfId="0" applyNumberFormat="1" applyFont="1" applyFill="1" applyAlignment="1">
      <alignment/>
    </xf>
    <xf numFmtId="0" fontId="50" fillId="34" borderId="12" xfId="0" applyFont="1" applyFill="1" applyBorder="1" applyAlignment="1">
      <alignment horizontal="center"/>
    </xf>
    <xf numFmtId="0" fontId="50" fillId="0" borderId="13" xfId="0" applyFont="1" applyBorder="1" applyAlignment="1">
      <alignment/>
    </xf>
    <xf numFmtId="173" fontId="51" fillId="0" borderId="13" xfId="0" applyNumberFormat="1" applyFont="1" applyBorder="1" applyAlignment="1">
      <alignment/>
    </xf>
    <xf numFmtId="173" fontId="50" fillId="0" borderId="13" xfId="0" applyNumberFormat="1" applyFont="1" applyBorder="1" applyAlignment="1">
      <alignment/>
    </xf>
    <xf numFmtId="0" fontId="50" fillId="0" borderId="14" xfId="0" applyFont="1" applyBorder="1" applyAlignment="1">
      <alignment/>
    </xf>
    <xf numFmtId="173" fontId="51" fillId="0" borderId="14" xfId="0" applyNumberFormat="1" applyFont="1" applyBorder="1" applyAlignment="1">
      <alignment/>
    </xf>
    <xf numFmtId="173" fontId="50" fillId="0" borderId="14" xfId="0" applyNumberFormat="1" applyFont="1" applyBorder="1" applyAlignment="1">
      <alignment/>
    </xf>
    <xf numFmtId="173" fontId="51" fillId="34" borderId="14" xfId="0" applyNumberFormat="1" applyFont="1" applyFill="1" applyBorder="1" applyAlignment="1">
      <alignment/>
    </xf>
    <xf numFmtId="0" fontId="50" fillId="34" borderId="15" xfId="0" applyFont="1" applyFill="1" applyBorder="1" applyAlignment="1">
      <alignment/>
    </xf>
    <xf numFmtId="173" fontId="50" fillId="34" borderId="15" xfId="0" applyNumberFormat="1" applyFont="1" applyFill="1" applyBorder="1" applyAlignment="1">
      <alignment/>
    </xf>
    <xf numFmtId="173" fontId="50" fillId="0" borderId="15" xfId="0" applyNumberFormat="1" applyFont="1" applyBorder="1" applyAlignment="1">
      <alignment/>
    </xf>
    <xf numFmtId="0" fontId="50" fillId="34" borderId="16" xfId="0" applyFont="1" applyFill="1" applyBorder="1" applyAlignment="1">
      <alignment/>
    </xf>
    <xf numFmtId="173" fontId="50" fillId="34" borderId="16" xfId="0" applyNumberFormat="1" applyFont="1" applyFill="1" applyBorder="1" applyAlignment="1">
      <alignment/>
    </xf>
    <xf numFmtId="0" fontId="50" fillId="34" borderId="11" xfId="0" applyFont="1" applyFill="1" applyBorder="1" applyAlignment="1">
      <alignment/>
    </xf>
    <xf numFmtId="173" fontId="50" fillId="34" borderId="11" xfId="0" applyNumberFormat="1" applyFont="1" applyFill="1" applyBorder="1" applyAlignment="1">
      <alignment/>
    </xf>
    <xf numFmtId="0" fontId="50" fillId="0" borderId="15" xfId="0" applyFont="1" applyBorder="1" applyAlignment="1">
      <alignment/>
    </xf>
    <xf numFmtId="173" fontId="51" fillId="0" borderId="15" xfId="0" applyNumberFormat="1" applyFont="1" applyBorder="1" applyAlignment="1">
      <alignment/>
    </xf>
    <xf numFmtId="0" fontId="50" fillId="33" borderId="11" xfId="0" applyFont="1" applyFill="1" applyBorder="1" applyAlignment="1">
      <alignment/>
    </xf>
    <xf numFmtId="173" fontId="50" fillId="33" borderId="11" xfId="0" applyNumberFormat="1" applyFont="1" applyFill="1" applyBorder="1" applyAlignment="1">
      <alignment horizontal="center"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 horizontal="center"/>
    </xf>
    <xf numFmtId="0" fontId="50" fillId="33" borderId="14" xfId="0" applyFont="1" applyFill="1" applyBorder="1" applyAlignment="1">
      <alignment/>
    </xf>
    <xf numFmtId="0" fontId="50" fillId="33" borderId="14" xfId="0" applyFont="1" applyFill="1" applyBorder="1" applyAlignment="1">
      <alignment horizontal="center"/>
    </xf>
    <xf numFmtId="0" fontId="50" fillId="33" borderId="15" xfId="0" applyFont="1" applyFill="1" applyBorder="1" applyAlignment="1">
      <alignment/>
    </xf>
    <xf numFmtId="0" fontId="50" fillId="33" borderId="15" xfId="0" applyFont="1" applyFill="1" applyBorder="1" applyAlignment="1">
      <alignment horizontal="center"/>
    </xf>
    <xf numFmtId="0" fontId="50" fillId="33" borderId="13" xfId="0" applyFont="1" applyFill="1" applyBorder="1" applyAlignment="1">
      <alignment/>
    </xf>
    <xf numFmtId="0" fontId="50" fillId="33" borderId="13" xfId="0" applyFont="1" applyFill="1" applyBorder="1" applyAlignment="1">
      <alignment horizontal="center"/>
    </xf>
    <xf numFmtId="0" fontId="52" fillId="35" borderId="11" xfId="0" applyFont="1" applyFill="1" applyBorder="1" applyAlignment="1">
      <alignment horizontal="left"/>
    </xf>
    <xf numFmtId="173" fontId="52" fillId="35" borderId="11" xfId="0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50" fillId="33" borderId="19" xfId="0" applyFont="1" applyFill="1" applyBorder="1" applyAlignment="1">
      <alignment/>
    </xf>
    <xf numFmtId="173" fontId="50" fillId="34" borderId="17" xfId="0" applyNumberFormat="1" applyFont="1" applyFill="1" applyBorder="1" applyAlignment="1">
      <alignment/>
    </xf>
    <xf numFmtId="0" fontId="50" fillId="33" borderId="20" xfId="0" applyFont="1" applyFill="1" applyBorder="1" applyAlignment="1">
      <alignment horizontal="center"/>
    </xf>
    <xf numFmtId="0" fontId="50" fillId="33" borderId="21" xfId="0" applyFont="1" applyFill="1" applyBorder="1" applyAlignment="1">
      <alignment horizontal="center"/>
    </xf>
    <xf numFmtId="173" fontId="50" fillId="34" borderId="14" xfId="0" applyNumberFormat="1" applyFont="1" applyFill="1" applyBorder="1" applyAlignment="1">
      <alignment/>
    </xf>
    <xf numFmtId="0" fontId="50" fillId="33" borderId="22" xfId="0" applyFont="1" applyFill="1" applyBorder="1" applyAlignment="1">
      <alignment horizontal="center"/>
    </xf>
    <xf numFmtId="0" fontId="50" fillId="33" borderId="23" xfId="0" applyFont="1" applyFill="1" applyBorder="1" applyAlignment="1">
      <alignment horizontal="center"/>
    </xf>
    <xf numFmtId="0" fontId="50" fillId="33" borderId="24" xfId="0" applyFont="1" applyFill="1" applyBorder="1" applyAlignment="1">
      <alignment horizontal="center"/>
    </xf>
    <xf numFmtId="0" fontId="50" fillId="33" borderId="25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173" fontId="50" fillId="33" borderId="11" xfId="0" applyNumberFormat="1" applyFont="1" applyFill="1" applyBorder="1" applyAlignment="1">
      <alignment/>
    </xf>
    <xf numFmtId="0" fontId="51" fillId="34" borderId="27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73" fontId="50" fillId="34" borderId="13" xfId="0" applyNumberFormat="1" applyFont="1" applyFill="1" applyBorder="1" applyAlignment="1">
      <alignment/>
    </xf>
    <xf numFmtId="173" fontId="50" fillId="33" borderId="11" xfId="0" applyNumberFormat="1" applyFont="1" applyFill="1" applyBorder="1" applyAlignment="1">
      <alignment/>
    </xf>
    <xf numFmtId="0" fontId="50" fillId="17" borderId="0" xfId="0" applyFont="1" applyFill="1" applyAlignment="1">
      <alignment/>
    </xf>
    <xf numFmtId="0" fontId="50" fillId="34" borderId="17" xfId="0" applyFont="1" applyFill="1" applyBorder="1" applyAlignment="1">
      <alignment/>
    </xf>
    <xf numFmtId="0" fontId="50" fillId="34" borderId="14" xfId="0" applyFont="1" applyFill="1" applyBorder="1" applyAlignment="1">
      <alignment/>
    </xf>
    <xf numFmtId="9" fontId="50" fillId="34" borderId="14" xfId="0" applyNumberFormat="1" applyFont="1" applyFill="1" applyBorder="1" applyAlignment="1">
      <alignment/>
    </xf>
    <xf numFmtId="0" fontId="50" fillId="33" borderId="28" xfId="0" applyFont="1" applyFill="1" applyBorder="1" applyAlignment="1">
      <alignment/>
    </xf>
    <xf numFmtId="173" fontId="50" fillId="33" borderId="16" xfId="0" applyNumberFormat="1" applyFont="1" applyFill="1" applyBorder="1" applyAlignment="1">
      <alignment/>
    </xf>
    <xf numFmtId="0" fontId="50" fillId="34" borderId="29" xfId="0" applyFont="1" applyFill="1" applyBorder="1" applyAlignment="1">
      <alignment/>
    </xf>
    <xf numFmtId="0" fontId="50" fillId="33" borderId="30" xfId="0" applyFont="1" applyFill="1" applyBorder="1" applyAlignment="1">
      <alignment/>
    </xf>
    <xf numFmtId="0" fontId="50" fillId="33" borderId="31" xfId="0" applyFont="1" applyFill="1" applyBorder="1" applyAlignment="1">
      <alignment/>
    </xf>
    <xf numFmtId="0" fontId="50" fillId="33" borderId="31" xfId="0" applyFont="1" applyFill="1" applyBorder="1" applyAlignment="1">
      <alignment/>
    </xf>
    <xf numFmtId="173" fontId="50" fillId="33" borderId="32" xfId="0" applyNumberFormat="1" applyFont="1" applyFill="1" applyBorder="1" applyAlignment="1">
      <alignment/>
    </xf>
    <xf numFmtId="173" fontId="50" fillId="33" borderId="19" xfId="0" applyNumberFormat="1" applyFont="1" applyFill="1" applyBorder="1" applyAlignment="1">
      <alignment/>
    </xf>
    <xf numFmtId="173" fontId="50" fillId="33" borderId="33" xfId="0" applyNumberFormat="1" applyFont="1" applyFill="1" applyBorder="1" applyAlignment="1">
      <alignment/>
    </xf>
    <xf numFmtId="0" fontId="51" fillId="35" borderId="10" xfId="0" applyFont="1" applyFill="1" applyBorder="1" applyAlignment="1">
      <alignment/>
    </xf>
    <xf numFmtId="0" fontId="51" fillId="35" borderId="18" xfId="0" applyFont="1" applyFill="1" applyBorder="1" applyAlignment="1">
      <alignment/>
    </xf>
    <xf numFmtId="0" fontId="51" fillId="35" borderId="19" xfId="0" applyFont="1" applyFill="1" applyBorder="1" applyAlignment="1">
      <alignment/>
    </xf>
    <xf numFmtId="0" fontId="51" fillId="17" borderId="0" xfId="0" applyFont="1" applyFill="1" applyAlignment="1" applyProtection="1">
      <alignment/>
      <protection/>
    </xf>
    <xf numFmtId="0" fontId="51" fillId="35" borderId="0" xfId="0" applyFont="1" applyFill="1" applyBorder="1" applyAlignment="1" applyProtection="1">
      <alignment/>
      <protection/>
    </xf>
    <xf numFmtId="0" fontId="52" fillId="35" borderId="12" xfId="0" applyFont="1" applyFill="1" applyBorder="1" applyAlignment="1" applyProtection="1">
      <alignment horizontal="center"/>
      <protection/>
    </xf>
    <xf numFmtId="17" fontId="53" fillId="35" borderId="13" xfId="0" applyNumberFormat="1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52" fillId="35" borderId="34" xfId="0" applyFont="1" applyFill="1" applyBorder="1" applyAlignment="1" applyProtection="1">
      <alignment/>
      <protection/>
    </xf>
    <xf numFmtId="0" fontId="52" fillId="35" borderId="23" xfId="0" applyFont="1" applyFill="1" applyBorder="1" applyAlignment="1" applyProtection="1">
      <alignment/>
      <protection/>
    </xf>
    <xf numFmtId="0" fontId="52" fillId="35" borderId="35" xfId="0" applyFont="1" applyFill="1" applyBorder="1" applyAlignment="1" applyProtection="1">
      <alignment/>
      <protection/>
    </xf>
    <xf numFmtId="0" fontId="50" fillId="0" borderId="14" xfId="0" applyFont="1" applyBorder="1" applyAlignment="1" applyProtection="1">
      <alignment horizontal="center"/>
      <protection/>
    </xf>
    <xf numFmtId="0" fontId="50" fillId="0" borderId="15" xfId="0" applyFont="1" applyBorder="1" applyAlignment="1" applyProtection="1">
      <alignment horizontal="center"/>
      <protection/>
    </xf>
    <xf numFmtId="0" fontId="52" fillId="35" borderId="30" xfId="0" applyFont="1" applyFill="1" applyBorder="1" applyAlignment="1" applyProtection="1">
      <alignment horizontal="center"/>
      <protection/>
    </xf>
    <xf numFmtId="0" fontId="52" fillId="35" borderId="31" xfId="0" applyFont="1" applyFill="1" applyBorder="1" applyAlignment="1" applyProtection="1">
      <alignment horizontal="center"/>
      <protection/>
    </xf>
    <xf numFmtId="0" fontId="52" fillId="35" borderId="32" xfId="0" applyFont="1" applyFill="1" applyBorder="1" applyAlignment="1" applyProtection="1">
      <alignment horizontal="center"/>
      <protection/>
    </xf>
    <xf numFmtId="0" fontId="52" fillId="35" borderId="36" xfId="0" applyFont="1" applyFill="1" applyBorder="1" applyAlignment="1" applyProtection="1">
      <alignment horizontal="center"/>
      <protection/>
    </xf>
    <xf numFmtId="0" fontId="52" fillId="35" borderId="0" xfId="0" applyFont="1" applyFill="1" applyBorder="1" applyAlignment="1" applyProtection="1">
      <alignment horizontal="center"/>
      <protection/>
    </xf>
    <xf numFmtId="0" fontId="52" fillId="35" borderId="37" xfId="0" applyFont="1" applyFill="1" applyBorder="1" applyAlignment="1" applyProtection="1">
      <alignment horizontal="center"/>
      <protection/>
    </xf>
    <xf numFmtId="0" fontId="51" fillId="35" borderId="0" xfId="0" applyFont="1" applyFill="1" applyAlignment="1">
      <alignment/>
    </xf>
    <xf numFmtId="0" fontId="50" fillId="33" borderId="30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50" fillId="33" borderId="11" xfId="0" applyFont="1" applyFill="1" applyBorder="1" applyAlignment="1">
      <alignment horizontal="center"/>
    </xf>
    <xf numFmtId="0" fontId="49" fillId="0" borderId="23" xfId="0" applyFont="1" applyBorder="1" applyAlignment="1">
      <alignment/>
    </xf>
    <xf numFmtId="172" fontId="0" fillId="0" borderId="23" xfId="0" applyNumberFormat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54" fillId="0" borderId="10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172" fontId="0" fillId="0" borderId="0" xfId="0" applyNumberFormat="1" applyAlignment="1">
      <alignment/>
    </xf>
    <xf numFmtId="0" fontId="0" fillId="0" borderId="23" xfId="0" applyBorder="1" applyAlignment="1">
      <alignment/>
    </xf>
    <xf numFmtId="0" fontId="50" fillId="34" borderId="0" xfId="0" applyFont="1" applyFill="1" applyBorder="1" applyAlignment="1">
      <alignment/>
    </xf>
    <xf numFmtId="173" fontId="50" fillId="34" borderId="0" xfId="0" applyNumberFormat="1" applyFont="1" applyFill="1" applyBorder="1" applyAlignment="1">
      <alignment/>
    </xf>
    <xf numFmtId="0" fontId="50" fillId="33" borderId="30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50" fillId="33" borderId="11" xfId="0" applyFont="1" applyFill="1" applyBorder="1" applyAlignment="1">
      <alignment horizontal="center"/>
    </xf>
    <xf numFmtId="0" fontId="50" fillId="34" borderId="27" xfId="0" applyFont="1" applyFill="1" applyBorder="1" applyAlignment="1">
      <alignment/>
    </xf>
    <xf numFmtId="0" fontId="50" fillId="34" borderId="38" xfId="0" applyFont="1" applyFill="1" applyBorder="1" applyAlignment="1">
      <alignment/>
    </xf>
    <xf numFmtId="0" fontId="50" fillId="34" borderId="39" xfId="0" applyFont="1" applyFill="1" applyBorder="1" applyAlignment="1">
      <alignment/>
    </xf>
    <xf numFmtId="0" fontId="50" fillId="34" borderId="40" xfId="0" applyFont="1" applyFill="1" applyBorder="1" applyAlignment="1">
      <alignment/>
    </xf>
    <xf numFmtId="0" fontId="50" fillId="34" borderId="41" xfId="0" applyFont="1" applyFill="1" applyBorder="1" applyAlignment="1">
      <alignment/>
    </xf>
    <xf numFmtId="0" fontId="50" fillId="34" borderId="42" xfId="0" applyFont="1" applyFill="1" applyBorder="1" applyAlignment="1">
      <alignment/>
    </xf>
    <xf numFmtId="173" fontId="50" fillId="34" borderId="29" xfId="0" applyNumberFormat="1" applyFont="1" applyFill="1" applyBorder="1" applyAlignment="1">
      <alignment/>
    </xf>
    <xf numFmtId="0" fontId="49" fillId="34" borderId="23" xfId="0" applyFont="1" applyFill="1" applyBorder="1" applyAlignment="1">
      <alignment/>
    </xf>
    <xf numFmtId="2" fontId="49" fillId="34" borderId="23" xfId="0" applyNumberFormat="1" applyFont="1" applyFill="1" applyBorder="1" applyAlignment="1">
      <alignment/>
    </xf>
    <xf numFmtId="173" fontId="50" fillId="33" borderId="13" xfId="0" applyNumberFormat="1" applyFont="1" applyFill="1" applyBorder="1" applyAlignment="1">
      <alignment horizontal="center"/>
    </xf>
    <xf numFmtId="173" fontId="55" fillId="17" borderId="0" xfId="0" applyNumberFormat="1" applyFont="1" applyFill="1" applyAlignment="1">
      <alignment/>
    </xf>
    <xf numFmtId="0" fontId="56" fillId="17" borderId="0" xfId="0" applyFont="1" applyFill="1" applyAlignment="1">
      <alignment/>
    </xf>
    <xf numFmtId="0" fontId="57" fillId="33" borderId="30" xfId="0" applyFont="1" applyFill="1" applyBorder="1" applyAlignment="1">
      <alignment/>
    </xf>
    <xf numFmtId="0" fontId="57" fillId="33" borderId="31" xfId="0" applyFont="1" applyFill="1" applyBorder="1" applyAlignment="1">
      <alignment/>
    </xf>
    <xf numFmtId="0" fontId="57" fillId="33" borderId="31" xfId="0" applyFont="1" applyFill="1" applyBorder="1" applyAlignment="1">
      <alignment/>
    </xf>
    <xf numFmtId="173" fontId="57" fillId="33" borderId="32" xfId="0" applyNumberFormat="1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57" fillId="33" borderId="18" xfId="0" applyFont="1" applyFill="1" applyBorder="1" applyAlignment="1">
      <alignment/>
    </xf>
    <xf numFmtId="0" fontId="57" fillId="33" borderId="18" xfId="0" applyFont="1" applyFill="1" applyBorder="1" applyAlignment="1">
      <alignment/>
    </xf>
    <xf numFmtId="173" fontId="57" fillId="33" borderId="19" xfId="0" applyNumberFormat="1" applyFont="1" applyFill="1" applyBorder="1" applyAlignment="1">
      <alignment/>
    </xf>
    <xf numFmtId="0" fontId="57" fillId="33" borderId="28" xfId="0" applyFont="1" applyFill="1" applyBorder="1" applyAlignment="1">
      <alignment/>
    </xf>
    <xf numFmtId="173" fontId="57" fillId="33" borderId="33" xfId="0" applyNumberFormat="1" applyFont="1" applyFill="1" applyBorder="1" applyAlignment="1">
      <alignment/>
    </xf>
    <xf numFmtId="2" fontId="51" fillId="17" borderId="0" xfId="0" applyNumberFormat="1" applyFont="1" applyFill="1" applyAlignment="1" applyProtection="1">
      <alignment/>
      <protection/>
    </xf>
    <xf numFmtId="4" fontId="51" fillId="17" borderId="0" xfId="0" applyNumberFormat="1" applyFont="1" applyFill="1" applyAlignment="1" applyProtection="1">
      <alignment/>
      <protection/>
    </xf>
    <xf numFmtId="172" fontId="49" fillId="34" borderId="23" xfId="0" applyNumberFormat="1" applyFont="1" applyFill="1" applyBorder="1" applyAlignment="1">
      <alignment/>
    </xf>
    <xf numFmtId="187" fontId="0" fillId="0" borderId="23" xfId="0" applyNumberFormat="1" applyBorder="1" applyAlignment="1">
      <alignment/>
    </xf>
    <xf numFmtId="0" fontId="50" fillId="33" borderId="11" xfId="0" applyFont="1" applyFill="1" applyBorder="1" applyAlignment="1">
      <alignment horizontal="center"/>
    </xf>
    <xf numFmtId="0" fontId="50" fillId="34" borderId="27" xfId="0" applyFont="1" applyFill="1" applyBorder="1" applyAlignment="1">
      <alignment/>
    </xf>
    <xf numFmtId="0" fontId="50" fillId="34" borderId="38" xfId="0" applyFont="1" applyFill="1" applyBorder="1" applyAlignment="1">
      <alignment/>
    </xf>
    <xf numFmtId="0" fontId="50" fillId="34" borderId="39" xfId="0" applyFont="1" applyFill="1" applyBorder="1" applyAlignment="1">
      <alignment/>
    </xf>
    <xf numFmtId="0" fontId="50" fillId="33" borderId="30" xfId="0" applyFont="1" applyFill="1" applyBorder="1" applyAlignment="1">
      <alignment horizontal="center"/>
    </xf>
    <xf numFmtId="172" fontId="51" fillId="0" borderId="13" xfId="0" applyNumberFormat="1" applyFont="1" applyBorder="1" applyAlignment="1">
      <alignment/>
    </xf>
    <xf numFmtId="0" fontId="51" fillId="35" borderId="23" xfId="0" applyFont="1" applyFill="1" applyBorder="1" applyAlignment="1" applyProtection="1">
      <alignment/>
      <protection/>
    </xf>
    <xf numFmtId="17" fontId="53" fillId="35" borderId="23" xfId="0" applyNumberFormat="1" applyFont="1" applyFill="1" applyBorder="1" applyAlignment="1" applyProtection="1">
      <alignment horizontal="center"/>
      <protection/>
    </xf>
    <xf numFmtId="173" fontId="50" fillId="0" borderId="17" xfId="0" applyNumberFormat="1" applyFont="1" applyBorder="1" applyAlignment="1">
      <alignment/>
    </xf>
    <xf numFmtId="173" fontId="50" fillId="0" borderId="26" xfId="0" applyNumberFormat="1" applyFont="1" applyBorder="1" applyAlignment="1">
      <alignment/>
    </xf>
    <xf numFmtId="173" fontId="50" fillId="0" borderId="27" xfId="0" applyNumberFormat="1" applyFont="1" applyBorder="1" applyAlignment="1">
      <alignment/>
    </xf>
    <xf numFmtId="173" fontId="50" fillId="0" borderId="23" xfId="0" applyNumberFormat="1" applyFont="1" applyBorder="1" applyAlignment="1">
      <alignment/>
    </xf>
    <xf numFmtId="173" fontId="50" fillId="0" borderId="21" xfId="0" applyNumberFormat="1" applyFont="1" applyBorder="1" applyAlignment="1">
      <alignment/>
    </xf>
    <xf numFmtId="173" fontId="50" fillId="0" borderId="35" xfId="0" applyNumberFormat="1" applyFont="1" applyBorder="1" applyAlignment="1">
      <alignment/>
    </xf>
    <xf numFmtId="173" fontId="50" fillId="0" borderId="25" xfId="0" applyNumberFormat="1" applyFont="1" applyBorder="1" applyAlignment="1">
      <alignment/>
    </xf>
    <xf numFmtId="173" fontId="50" fillId="0" borderId="43" xfId="0" applyNumberFormat="1" applyFont="1" applyBorder="1" applyAlignment="1">
      <alignment/>
    </xf>
    <xf numFmtId="4" fontId="58" fillId="0" borderId="0" xfId="0" applyNumberFormat="1" applyFont="1" applyBorder="1" applyAlignment="1">
      <alignment vertical="top" shrinkToFit="1"/>
    </xf>
    <xf numFmtId="4" fontId="4" fillId="0" borderId="0" xfId="0" applyNumberFormat="1" applyFont="1" applyBorder="1" applyAlignment="1">
      <alignment vertical="top" wrapText="1"/>
    </xf>
    <xf numFmtId="173" fontId="50" fillId="0" borderId="44" xfId="0" applyNumberFormat="1" applyFont="1" applyBorder="1" applyAlignment="1">
      <alignment/>
    </xf>
    <xf numFmtId="0" fontId="51" fillId="36" borderId="0" xfId="0" applyFont="1" applyFill="1" applyAlignment="1">
      <alignment/>
    </xf>
    <xf numFmtId="173" fontId="51" fillId="36" borderId="0" xfId="0" applyNumberFormat="1" applyFont="1" applyFill="1" applyAlignment="1">
      <alignment/>
    </xf>
    <xf numFmtId="0" fontId="56" fillId="36" borderId="0" xfId="0" applyFont="1" applyFill="1" applyAlignment="1">
      <alignment/>
    </xf>
    <xf numFmtId="173" fontId="55" fillId="36" borderId="0" xfId="0" applyNumberFormat="1" applyFont="1" applyFill="1" applyAlignment="1">
      <alignment/>
    </xf>
    <xf numFmtId="0" fontId="50" fillId="37" borderId="17" xfId="0" applyFont="1" applyFill="1" applyBorder="1" applyAlignment="1">
      <alignment horizontal="center"/>
    </xf>
    <xf numFmtId="0" fontId="50" fillId="38" borderId="14" xfId="0" applyFont="1" applyFill="1" applyBorder="1" applyAlignment="1">
      <alignment horizontal="center"/>
    </xf>
    <xf numFmtId="0" fontId="50" fillId="38" borderId="15" xfId="0" applyFont="1" applyFill="1" applyBorder="1" applyAlignment="1">
      <alignment horizontal="center"/>
    </xf>
    <xf numFmtId="173" fontId="50" fillId="38" borderId="11" xfId="0" applyNumberFormat="1" applyFont="1" applyFill="1" applyBorder="1" applyAlignment="1">
      <alignment horizontal="center"/>
    </xf>
    <xf numFmtId="173" fontId="50" fillId="38" borderId="13" xfId="0" applyNumberFormat="1" applyFont="1" applyFill="1" applyBorder="1" applyAlignment="1">
      <alignment horizontal="center"/>
    </xf>
    <xf numFmtId="0" fontId="50" fillId="38" borderId="12" xfId="0" applyFont="1" applyFill="1" applyBorder="1" applyAlignment="1">
      <alignment horizontal="center"/>
    </xf>
    <xf numFmtId="173" fontId="50" fillId="38" borderId="13" xfId="0" applyNumberFormat="1" applyFont="1" applyFill="1" applyBorder="1" applyAlignment="1">
      <alignment/>
    </xf>
    <xf numFmtId="173" fontId="50" fillId="38" borderId="14" xfId="0" applyNumberFormat="1" applyFont="1" applyFill="1" applyBorder="1" applyAlignment="1">
      <alignment/>
    </xf>
    <xf numFmtId="173" fontId="50" fillId="38" borderId="15" xfId="0" applyNumberFormat="1" applyFont="1" applyFill="1" applyBorder="1" applyAlignment="1">
      <alignment/>
    </xf>
    <xf numFmtId="173" fontId="50" fillId="38" borderId="11" xfId="0" applyNumberFormat="1" applyFont="1" applyFill="1" applyBorder="1" applyAlignment="1">
      <alignment/>
    </xf>
    <xf numFmtId="173" fontId="50" fillId="38" borderId="16" xfId="0" applyNumberFormat="1" applyFont="1" applyFill="1" applyBorder="1" applyAlignment="1">
      <alignment/>
    </xf>
    <xf numFmtId="0" fontId="50" fillId="38" borderId="10" xfId="0" applyFont="1" applyFill="1" applyBorder="1" applyAlignment="1">
      <alignment/>
    </xf>
    <xf numFmtId="0" fontId="50" fillId="38" borderId="11" xfId="0" applyFont="1" applyFill="1" applyBorder="1" applyAlignment="1">
      <alignment horizontal="center"/>
    </xf>
    <xf numFmtId="0" fontId="51" fillId="36" borderId="0" xfId="0" applyFont="1" applyFill="1" applyAlignment="1">
      <alignment horizontal="left"/>
    </xf>
    <xf numFmtId="173" fontId="52" fillId="35" borderId="11" xfId="0" applyNumberFormat="1" applyFont="1" applyFill="1" applyBorder="1" applyAlignment="1">
      <alignment horizontal="right"/>
    </xf>
    <xf numFmtId="0" fontId="2" fillId="38" borderId="20" xfId="0" applyFont="1" applyFill="1" applyBorder="1" applyAlignment="1">
      <alignment/>
    </xf>
    <xf numFmtId="0" fontId="2" fillId="38" borderId="34" xfId="0" applyFont="1" applyFill="1" applyBorder="1" applyAlignment="1">
      <alignment/>
    </xf>
    <xf numFmtId="0" fontId="50" fillId="38" borderId="45" xfId="0" applyFont="1" applyFill="1" applyBorder="1" applyAlignment="1">
      <alignment/>
    </xf>
    <xf numFmtId="173" fontId="50" fillId="38" borderId="44" xfId="0" applyNumberFormat="1" applyFont="1" applyFill="1" applyBorder="1" applyAlignment="1">
      <alignment/>
    </xf>
    <xf numFmtId="0" fontId="50" fillId="38" borderId="23" xfId="0" applyFont="1" applyFill="1" applyBorder="1" applyAlignment="1">
      <alignment/>
    </xf>
    <xf numFmtId="0" fontId="51" fillId="38" borderId="23" xfId="0" applyFont="1" applyFill="1" applyBorder="1" applyAlignment="1">
      <alignment/>
    </xf>
    <xf numFmtId="173" fontId="50" fillId="38" borderId="23" xfId="0" applyNumberFormat="1" applyFont="1" applyFill="1" applyBorder="1" applyAlignment="1">
      <alignment horizontal="center" vertical="center"/>
    </xf>
    <xf numFmtId="173" fontId="30" fillId="38" borderId="23" xfId="0" applyNumberFormat="1" applyFont="1" applyFill="1" applyBorder="1" applyAlignment="1">
      <alignment horizontal="center"/>
    </xf>
    <xf numFmtId="0" fontId="50" fillId="36" borderId="0" xfId="0" applyFont="1" applyFill="1" applyAlignment="1">
      <alignment/>
    </xf>
    <xf numFmtId="172" fontId="49" fillId="38" borderId="23" xfId="0" applyNumberFormat="1" applyFont="1" applyFill="1" applyBorder="1" applyAlignment="1">
      <alignment/>
    </xf>
    <xf numFmtId="0" fontId="49" fillId="38" borderId="23" xfId="0" applyFont="1" applyFill="1" applyBorder="1" applyAlignment="1">
      <alignment/>
    </xf>
    <xf numFmtId="187" fontId="49" fillId="38" borderId="23" xfId="0" applyNumberFormat="1" applyFont="1" applyFill="1" applyBorder="1" applyAlignment="1">
      <alignment/>
    </xf>
    <xf numFmtId="0" fontId="52" fillId="35" borderId="12" xfId="0" applyFont="1" applyFill="1" applyBorder="1" applyAlignment="1">
      <alignment horizontal="center"/>
    </xf>
    <xf numFmtId="173" fontId="51" fillId="37" borderId="14" xfId="0" applyNumberFormat="1" applyFont="1" applyFill="1" applyBorder="1" applyAlignment="1">
      <alignment/>
    </xf>
    <xf numFmtId="173" fontId="50" fillId="37" borderId="14" xfId="0" applyNumberFormat="1" applyFont="1" applyFill="1" applyBorder="1" applyAlignment="1">
      <alignment/>
    </xf>
    <xf numFmtId="0" fontId="52" fillId="35" borderId="17" xfId="0" applyFont="1" applyFill="1" applyBorder="1" applyAlignment="1">
      <alignment/>
    </xf>
    <xf numFmtId="173" fontId="52" fillId="35" borderId="17" xfId="0" applyNumberFormat="1" applyFont="1" applyFill="1" applyBorder="1" applyAlignment="1">
      <alignment/>
    </xf>
    <xf numFmtId="173" fontId="51" fillId="37" borderId="13" xfId="0" applyNumberFormat="1" applyFont="1" applyFill="1" applyBorder="1" applyAlignment="1">
      <alignment/>
    </xf>
    <xf numFmtId="173" fontId="50" fillId="37" borderId="13" xfId="0" applyNumberFormat="1" applyFont="1" applyFill="1" applyBorder="1" applyAlignment="1">
      <alignment/>
    </xf>
    <xf numFmtId="0" fontId="50" fillId="39" borderId="23" xfId="0" applyFont="1" applyFill="1" applyBorder="1" applyAlignment="1">
      <alignment horizontal="center"/>
    </xf>
    <xf numFmtId="0" fontId="50" fillId="37" borderId="14" xfId="0" applyFont="1" applyFill="1" applyBorder="1" applyAlignment="1" applyProtection="1">
      <alignment horizontal="center"/>
      <protection/>
    </xf>
    <xf numFmtId="0" fontId="50" fillId="37" borderId="15" xfId="0" applyFont="1" applyFill="1" applyBorder="1" applyAlignment="1" applyProtection="1">
      <alignment horizontal="center"/>
      <protection/>
    </xf>
    <xf numFmtId="173" fontId="50" fillId="37" borderId="17" xfId="0" applyNumberFormat="1" applyFont="1" applyFill="1" applyBorder="1" applyAlignment="1">
      <alignment/>
    </xf>
    <xf numFmtId="0" fontId="50" fillId="37" borderId="27" xfId="0" applyFont="1" applyFill="1" applyBorder="1" applyAlignment="1">
      <alignment wrapText="1"/>
    </xf>
    <xf numFmtId="0" fontId="50" fillId="37" borderId="38" xfId="0" applyFont="1" applyFill="1" applyBorder="1" applyAlignment="1">
      <alignment wrapText="1"/>
    </xf>
    <xf numFmtId="0" fontId="50" fillId="37" borderId="39" xfId="0" applyFont="1" applyFill="1" applyBorder="1" applyAlignment="1">
      <alignment wrapText="1"/>
    </xf>
    <xf numFmtId="173" fontId="50" fillId="37" borderId="15" xfId="0" applyNumberFormat="1" applyFont="1" applyFill="1" applyBorder="1" applyAlignment="1">
      <alignment/>
    </xf>
    <xf numFmtId="0" fontId="50" fillId="37" borderId="20" xfId="0" applyFont="1" applyFill="1" applyBorder="1" applyAlignment="1">
      <alignment horizontal="center"/>
    </xf>
    <xf numFmtId="0" fontId="50" fillId="37" borderId="21" xfId="0" applyFont="1" applyFill="1" applyBorder="1" applyAlignment="1">
      <alignment horizontal="center"/>
    </xf>
    <xf numFmtId="0" fontId="50" fillId="37" borderId="13" xfId="0" applyFont="1" applyFill="1" applyBorder="1" applyAlignment="1">
      <alignment horizontal="center"/>
    </xf>
    <xf numFmtId="0" fontId="50" fillId="37" borderId="22" xfId="0" applyFont="1" applyFill="1" applyBorder="1" applyAlignment="1">
      <alignment horizontal="center"/>
    </xf>
    <xf numFmtId="0" fontId="50" fillId="37" borderId="23" xfId="0" applyFont="1" applyFill="1" applyBorder="1" applyAlignment="1">
      <alignment horizontal="center"/>
    </xf>
    <xf numFmtId="0" fontId="50" fillId="37" borderId="24" xfId="0" applyFont="1" applyFill="1" applyBorder="1" applyAlignment="1">
      <alignment horizontal="center"/>
    </xf>
    <xf numFmtId="0" fontId="50" fillId="37" borderId="25" xfId="0" applyFont="1" applyFill="1" applyBorder="1" applyAlignment="1">
      <alignment horizontal="center"/>
    </xf>
    <xf numFmtId="0" fontId="50" fillId="37" borderId="16" xfId="0" applyFont="1" applyFill="1" applyBorder="1" applyAlignment="1">
      <alignment horizontal="center"/>
    </xf>
    <xf numFmtId="0" fontId="50" fillId="37" borderId="27" xfId="0" applyFont="1" applyFill="1" applyBorder="1" applyAlignment="1">
      <alignment/>
    </xf>
    <xf numFmtId="0" fontId="50" fillId="37" borderId="38" xfId="0" applyFont="1" applyFill="1" applyBorder="1" applyAlignment="1">
      <alignment/>
    </xf>
    <xf numFmtId="0" fontId="50" fillId="37" borderId="39" xfId="0" applyFont="1" applyFill="1" applyBorder="1" applyAlignment="1">
      <alignment/>
    </xf>
    <xf numFmtId="0" fontId="50" fillId="37" borderId="40" xfId="0" applyFont="1" applyFill="1" applyBorder="1" applyAlignment="1">
      <alignment/>
    </xf>
    <xf numFmtId="0" fontId="50" fillId="37" borderId="41" xfId="0" applyFont="1" applyFill="1" applyBorder="1" applyAlignment="1">
      <alignment/>
    </xf>
    <xf numFmtId="0" fontId="50" fillId="37" borderId="42" xfId="0" applyFont="1" applyFill="1" applyBorder="1" applyAlignment="1">
      <alignment/>
    </xf>
    <xf numFmtId="173" fontId="50" fillId="37" borderId="29" xfId="0" applyNumberFormat="1" applyFont="1" applyFill="1" applyBorder="1" applyAlignment="1">
      <alignment/>
    </xf>
    <xf numFmtId="0" fontId="50" fillId="37" borderId="46" xfId="0" applyFont="1" applyFill="1" applyBorder="1" applyAlignment="1">
      <alignment/>
    </xf>
    <xf numFmtId="0" fontId="50" fillId="37" borderId="47" xfId="0" applyFont="1" applyFill="1" applyBorder="1" applyAlignment="1">
      <alignment/>
    </xf>
    <xf numFmtId="0" fontId="50" fillId="37" borderId="48" xfId="0" applyFont="1" applyFill="1" applyBorder="1" applyAlignment="1">
      <alignment/>
    </xf>
    <xf numFmtId="0" fontId="52" fillId="35" borderId="11" xfId="0" applyFont="1" applyFill="1" applyBorder="1" applyAlignment="1">
      <alignment/>
    </xf>
    <xf numFmtId="0" fontId="52" fillId="35" borderId="10" xfId="0" applyFont="1" applyFill="1" applyBorder="1" applyAlignment="1">
      <alignment/>
    </xf>
    <xf numFmtId="0" fontId="52" fillId="35" borderId="18" xfId="0" applyFont="1" applyFill="1" applyBorder="1" applyAlignment="1">
      <alignment/>
    </xf>
    <xf numFmtId="0" fontId="52" fillId="35" borderId="19" xfId="0" applyFont="1" applyFill="1" applyBorder="1" applyAlignment="1">
      <alignment/>
    </xf>
    <xf numFmtId="0" fontId="52" fillId="35" borderId="30" xfId="0" applyFont="1" applyFill="1" applyBorder="1" applyAlignment="1">
      <alignment horizontal="center"/>
    </xf>
    <xf numFmtId="0" fontId="52" fillId="35" borderId="11" xfId="0" applyFont="1" applyFill="1" applyBorder="1" applyAlignment="1">
      <alignment horizontal="center"/>
    </xf>
    <xf numFmtId="173" fontId="52" fillId="35" borderId="11" xfId="0" applyNumberFormat="1" applyFont="1" applyFill="1" applyBorder="1" applyAlignment="1">
      <alignment/>
    </xf>
    <xf numFmtId="173" fontId="52" fillId="35" borderId="11" xfId="0" applyNumberFormat="1" applyFont="1" applyFill="1" applyBorder="1" applyAlignment="1">
      <alignment/>
    </xf>
    <xf numFmtId="0" fontId="52" fillId="35" borderId="28" xfId="0" applyFont="1" applyFill="1" applyBorder="1" applyAlignment="1">
      <alignment/>
    </xf>
    <xf numFmtId="173" fontId="52" fillId="35" borderId="16" xfId="0" applyNumberFormat="1" applyFont="1" applyFill="1" applyBorder="1" applyAlignment="1">
      <alignment/>
    </xf>
    <xf numFmtId="0" fontId="59" fillId="35" borderId="30" xfId="0" applyFont="1" applyFill="1" applyBorder="1" applyAlignment="1">
      <alignment/>
    </xf>
    <xf numFmtId="0" fontId="59" fillId="35" borderId="31" xfId="0" applyFont="1" applyFill="1" applyBorder="1" applyAlignment="1">
      <alignment/>
    </xf>
    <xf numFmtId="0" fontId="59" fillId="35" borderId="31" xfId="0" applyFont="1" applyFill="1" applyBorder="1" applyAlignment="1">
      <alignment/>
    </xf>
    <xf numFmtId="173" fontId="59" fillId="35" borderId="32" xfId="0" applyNumberFormat="1" applyFont="1" applyFill="1" applyBorder="1" applyAlignment="1">
      <alignment/>
    </xf>
    <xf numFmtId="0" fontId="59" fillId="35" borderId="10" xfId="0" applyFont="1" applyFill="1" applyBorder="1" applyAlignment="1">
      <alignment/>
    </xf>
    <xf numFmtId="0" fontId="59" fillId="35" borderId="18" xfId="0" applyFont="1" applyFill="1" applyBorder="1" applyAlignment="1">
      <alignment/>
    </xf>
    <xf numFmtId="0" fontId="59" fillId="35" borderId="18" xfId="0" applyFont="1" applyFill="1" applyBorder="1" applyAlignment="1">
      <alignment/>
    </xf>
    <xf numFmtId="173" fontId="59" fillId="35" borderId="19" xfId="0" applyNumberFormat="1" applyFont="1" applyFill="1" applyBorder="1" applyAlignment="1">
      <alignment/>
    </xf>
    <xf numFmtId="0" fontId="59" fillId="35" borderId="28" xfId="0" applyFont="1" applyFill="1" applyBorder="1" applyAlignment="1">
      <alignment/>
    </xf>
    <xf numFmtId="173" fontId="59" fillId="35" borderId="33" xfId="0" applyNumberFormat="1" applyFont="1" applyFill="1" applyBorder="1" applyAlignment="1">
      <alignment/>
    </xf>
    <xf numFmtId="0" fontId="50" fillId="38" borderId="13" xfId="0" applyFont="1" applyFill="1" applyBorder="1" applyAlignment="1">
      <alignment horizontal="center"/>
    </xf>
    <xf numFmtId="0" fontId="2" fillId="38" borderId="22" xfId="0" applyFont="1" applyFill="1" applyBorder="1" applyAlignment="1">
      <alignment/>
    </xf>
    <xf numFmtId="173" fontId="50" fillId="0" borderId="49" xfId="0" applyNumberFormat="1" applyFont="1" applyBorder="1" applyAlignment="1">
      <alignment/>
    </xf>
    <xf numFmtId="0" fontId="2" fillId="38" borderId="45" xfId="0" applyFont="1" applyFill="1" applyBorder="1" applyAlignment="1">
      <alignment/>
    </xf>
    <xf numFmtId="173" fontId="50" fillId="0" borderId="29" xfId="0" applyNumberFormat="1" applyFont="1" applyBorder="1" applyAlignment="1">
      <alignment/>
    </xf>
    <xf numFmtId="173" fontId="51" fillId="37" borderId="15" xfId="0" applyNumberFormat="1" applyFont="1" applyFill="1" applyBorder="1" applyAlignment="1">
      <alignment/>
    </xf>
    <xf numFmtId="0" fontId="52" fillId="35" borderId="50" xfId="0" applyFont="1" applyFill="1" applyBorder="1" applyAlignment="1">
      <alignment/>
    </xf>
    <xf numFmtId="173" fontId="52" fillId="35" borderId="28" xfId="0" applyNumberFormat="1" applyFont="1" applyFill="1" applyBorder="1" applyAlignment="1">
      <alignment/>
    </xf>
    <xf numFmtId="173" fontId="52" fillId="35" borderId="33" xfId="0" applyNumberFormat="1" applyFont="1" applyFill="1" applyBorder="1" applyAlignment="1">
      <alignment/>
    </xf>
    <xf numFmtId="0" fontId="52" fillId="35" borderId="51" xfId="0" applyFont="1" applyFill="1" applyBorder="1" applyAlignment="1" applyProtection="1">
      <alignment horizontal="center"/>
      <protection/>
    </xf>
    <xf numFmtId="17" fontId="53" fillId="35" borderId="51" xfId="0" applyNumberFormat="1" applyFont="1" applyFill="1" applyBorder="1" applyAlignment="1" applyProtection="1">
      <alignment horizontal="center"/>
      <protection/>
    </xf>
    <xf numFmtId="0" fontId="5" fillId="40" borderId="52" xfId="0" applyFont="1" applyFill="1" applyBorder="1" applyAlignment="1">
      <alignment horizontal="center" vertical="top" wrapText="1"/>
    </xf>
    <xf numFmtId="0" fontId="5" fillId="41" borderId="53" xfId="0" applyFont="1" applyFill="1" applyBorder="1" applyAlignment="1">
      <alignment horizontal="center" vertical="top" wrapText="1"/>
    </xf>
    <xf numFmtId="0" fontId="49" fillId="41" borderId="53" xfId="0" applyFont="1" applyFill="1" applyBorder="1" applyAlignment="1">
      <alignment horizontal="center" vertical="top" wrapText="1"/>
    </xf>
    <xf numFmtId="172" fontId="0" fillId="38" borderId="13" xfId="0" applyNumberFormat="1" applyFill="1" applyBorder="1" applyAlignment="1">
      <alignment horizontal="right"/>
    </xf>
    <xf numFmtId="172" fontId="0" fillId="38" borderId="14" xfId="0" applyNumberFormat="1" applyFill="1" applyBorder="1" applyAlignment="1">
      <alignment horizontal="right"/>
    </xf>
    <xf numFmtId="172" fontId="0" fillId="38" borderId="15" xfId="0" applyNumberFormat="1" applyFill="1" applyBorder="1" applyAlignment="1">
      <alignment horizontal="right"/>
    </xf>
    <xf numFmtId="172" fontId="52" fillId="35" borderId="23" xfId="0" applyNumberFormat="1" applyFont="1" applyFill="1" applyBorder="1" applyAlignment="1">
      <alignment horizontal="center"/>
    </xf>
    <xf numFmtId="0" fontId="52" fillId="35" borderId="23" xfId="0" applyFont="1" applyFill="1" applyBorder="1" applyAlignment="1">
      <alignment/>
    </xf>
    <xf numFmtId="173" fontId="52" fillId="35" borderId="23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3" fillId="42" borderId="10" xfId="0" applyFont="1" applyFill="1" applyBorder="1" applyAlignment="1" applyProtection="1">
      <alignment horizontal="center"/>
      <protection/>
    </xf>
    <xf numFmtId="0" fontId="3" fillId="42" borderId="18" xfId="0" applyFont="1" applyFill="1" applyBorder="1" applyAlignment="1" applyProtection="1">
      <alignment horizontal="center"/>
      <protection/>
    </xf>
    <xf numFmtId="0" fontId="3" fillId="42" borderId="19" xfId="0" applyFont="1" applyFill="1" applyBorder="1" applyAlignment="1" applyProtection="1">
      <alignment horizontal="center"/>
      <protection/>
    </xf>
    <xf numFmtId="0" fontId="52" fillId="35" borderId="26" xfId="0" applyFont="1" applyFill="1" applyBorder="1" applyAlignment="1" applyProtection="1">
      <alignment horizontal="center"/>
      <protection/>
    </xf>
    <xf numFmtId="0" fontId="52" fillId="35" borderId="54" xfId="0" applyFont="1" applyFill="1" applyBorder="1" applyAlignment="1" applyProtection="1">
      <alignment horizontal="center"/>
      <protection/>
    </xf>
    <xf numFmtId="0" fontId="52" fillId="35" borderId="55" xfId="0" applyFont="1" applyFill="1" applyBorder="1" applyAlignment="1" applyProtection="1">
      <alignment horizontal="center"/>
      <protection/>
    </xf>
    <xf numFmtId="0" fontId="50" fillId="33" borderId="10" xfId="0" applyFont="1" applyFill="1" applyBorder="1" applyAlignment="1">
      <alignment wrapText="1"/>
    </xf>
    <xf numFmtId="0" fontId="50" fillId="33" borderId="18" xfId="0" applyFont="1" applyFill="1" applyBorder="1" applyAlignment="1">
      <alignment wrapText="1"/>
    </xf>
    <xf numFmtId="0" fontId="50" fillId="33" borderId="19" xfId="0" applyFont="1" applyFill="1" applyBorder="1" applyAlignment="1">
      <alignment wrapText="1"/>
    </xf>
    <xf numFmtId="0" fontId="50" fillId="33" borderId="11" xfId="0" applyFont="1" applyFill="1" applyBorder="1" applyAlignment="1">
      <alignment horizontal="center"/>
    </xf>
    <xf numFmtId="0" fontId="50" fillId="34" borderId="26" xfId="0" applyFont="1" applyFill="1" applyBorder="1" applyAlignment="1">
      <alignment/>
    </xf>
    <xf numFmtId="0" fontId="50" fillId="34" borderId="54" xfId="0" applyFont="1" applyFill="1" applyBorder="1" applyAlignment="1">
      <alignment/>
    </xf>
    <xf numFmtId="0" fontId="50" fillId="34" borderId="55" xfId="0" applyFont="1" applyFill="1" applyBorder="1" applyAlignment="1">
      <alignment/>
    </xf>
    <xf numFmtId="0" fontId="50" fillId="34" borderId="46" xfId="0" applyFont="1" applyFill="1" applyBorder="1" applyAlignment="1">
      <alignment/>
    </xf>
    <xf numFmtId="0" fontId="50" fillId="34" borderId="47" xfId="0" applyFont="1" applyFill="1" applyBorder="1" applyAlignment="1">
      <alignment/>
    </xf>
    <xf numFmtId="0" fontId="50" fillId="34" borderId="48" xfId="0" applyFont="1" applyFill="1" applyBorder="1" applyAlignment="1">
      <alignment/>
    </xf>
    <xf numFmtId="0" fontId="50" fillId="34" borderId="27" xfId="0" applyFont="1" applyFill="1" applyBorder="1" applyAlignment="1">
      <alignment/>
    </xf>
    <xf numFmtId="0" fontId="50" fillId="34" borderId="38" xfId="0" applyFont="1" applyFill="1" applyBorder="1" applyAlignment="1">
      <alignment/>
    </xf>
    <xf numFmtId="0" fontId="50" fillId="34" borderId="39" xfId="0" applyFont="1" applyFill="1" applyBorder="1" applyAlignment="1">
      <alignment/>
    </xf>
    <xf numFmtId="0" fontId="50" fillId="34" borderId="27" xfId="0" applyFont="1" applyFill="1" applyBorder="1" applyAlignment="1">
      <alignment wrapText="1"/>
    </xf>
    <xf numFmtId="0" fontId="50" fillId="34" borderId="38" xfId="0" applyFont="1" applyFill="1" applyBorder="1" applyAlignment="1">
      <alignment wrapText="1"/>
    </xf>
    <xf numFmtId="0" fontId="50" fillId="34" borderId="39" xfId="0" applyFont="1" applyFill="1" applyBorder="1" applyAlignment="1">
      <alignment wrapText="1"/>
    </xf>
    <xf numFmtId="0" fontId="50" fillId="34" borderId="46" xfId="0" applyFont="1" applyFill="1" applyBorder="1" applyAlignment="1">
      <alignment wrapText="1"/>
    </xf>
    <xf numFmtId="0" fontId="50" fillId="34" borderId="47" xfId="0" applyFont="1" applyFill="1" applyBorder="1" applyAlignment="1">
      <alignment wrapText="1"/>
    </xf>
    <xf numFmtId="0" fontId="50" fillId="34" borderId="48" xfId="0" applyFont="1" applyFill="1" applyBorder="1" applyAlignment="1">
      <alignment wrapText="1"/>
    </xf>
    <xf numFmtId="0" fontId="50" fillId="34" borderId="10" xfId="0" applyFont="1" applyFill="1" applyBorder="1" applyAlignment="1">
      <alignment wrapText="1"/>
    </xf>
    <xf numFmtId="0" fontId="50" fillId="34" borderId="18" xfId="0" applyFont="1" applyFill="1" applyBorder="1" applyAlignment="1">
      <alignment wrapText="1"/>
    </xf>
    <xf numFmtId="0" fontId="50" fillId="34" borderId="19" xfId="0" applyFont="1" applyFill="1" applyBorder="1" applyAlignment="1">
      <alignment wrapText="1"/>
    </xf>
    <xf numFmtId="0" fontId="50" fillId="34" borderId="26" xfId="0" applyFont="1" applyFill="1" applyBorder="1" applyAlignment="1">
      <alignment wrapText="1"/>
    </xf>
    <xf numFmtId="0" fontId="50" fillId="34" borderId="54" xfId="0" applyFont="1" applyFill="1" applyBorder="1" applyAlignment="1">
      <alignment wrapText="1"/>
    </xf>
    <xf numFmtId="0" fontId="50" fillId="34" borderId="55" xfId="0" applyFont="1" applyFill="1" applyBorder="1" applyAlignment="1">
      <alignment wrapText="1"/>
    </xf>
    <xf numFmtId="0" fontId="50" fillId="34" borderId="14" xfId="0" applyFont="1" applyFill="1" applyBorder="1" applyAlignment="1">
      <alignment wrapText="1"/>
    </xf>
    <xf numFmtId="0" fontId="50" fillId="34" borderId="14" xfId="0" applyFont="1" applyFill="1" applyBorder="1" applyAlignment="1">
      <alignment/>
    </xf>
    <xf numFmtId="0" fontId="50" fillId="33" borderId="30" xfId="0" applyFont="1" applyFill="1" applyBorder="1" applyAlignment="1">
      <alignment horizontal="center"/>
    </xf>
    <xf numFmtId="0" fontId="50" fillId="33" borderId="31" xfId="0" applyFont="1" applyFill="1" applyBorder="1" applyAlignment="1">
      <alignment horizontal="center"/>
    </xf>
    <xf numFmtId="0" fontId="50" fillId="33" borderId="32" xfId="0" applyFont="1" applyFill="1" applyBorder="1" applyAlignment="1">
      <alignment horizontal="center"/>
    </xf>
    <xf numFmtId="0" fontId="50" fillId="33" borderId="11" xfId="0" applyFont="1" applyFill="1" applyBorder="1" applyAlignment="1">
      <alignment wrapText="1"/>
    </xf>
    <xf numFmtId="0" fontId="50" fillId="33" borderId="11" xfId="0" applyFont="1" applyFill="1" applyBorder="1" applyAlignment="1">
      <alignment/>
    </xf>
    <xf numFmtId="0" fontId="50" fillId="34" borderId="17" xfId="0" applyFont="1" applyFill="1" applyBorder="1" applyAlignment="1">
      <alignment wrapText="1"/>
    </xf>
    <xf numFmtId="0" fontId="50" fillId="34" borderId="17" xfId="0" applyFont="1" applyFill="1" applyBorder="1" applyAlignment="1">
      <alignment/>
    </xf>
    <xf numFmtId="0" fontId="52" fillId="35" borderId="27" xfId="0" applyFont="1" applyFill="1" applyBorder="1" applyAlignment="1" applyProtection="1">
      <alignment horizontal="center" wrapText="1"/>
      <protection/>
    </xf>
    <xf numFmtId="0" fontId="0" fillId="0" borderId="44" xfId="0" applyBorder="1" applyAlignment="1">
      <alignment horizontal="center" wrapText="1"/>
    </xf>
    <xf numFmtId="172" fontId="49" fillId="38" borderId="56" xfId="0" applyNumberFormat="1" applyFont="1" applyFill="1" applyBorder="1" applyAlignment="1">
      <alignment wrapText="1"/>
    </xf>
    <xf numFmtId="0" fontId="0" fillId="0" borderId="44" xfId="0" applyBorder="1" applyAlignment="1">
      <alignment wrapText="1"/>
    </xf>
    <xf numFmtId="0" fontId="50" fillId="37" borderId="27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50" fillId="37" borderId="46" xfId="0" applyFont="1" applyFill="1" applyBorder="1" applyAlignment="1">
      <alignment wrapText="1"/>
    </xf>
    <xf numFmtId="0" fontId="0" fillId="0" borderId="48" xfId="0" applyBorder="1" applyAlignment="1">
      <alignment wrapText="1"/>
    </xf>
    <xf numFmtId="172" fontId="0" fillId="0" borderId="56" xfId="0" applyNumberFormat="1" applyBorder="1" applyAlignment="1">
      <alignment wrapText="1"/>
    </xf>
    <xf numFmtId="0" fontId="50" fillId="37" borderId="26" xfId="0" applyFont="1" applyFill="1" applyBorder="1" applyAlignment="1">
      <alignment wrapText="1"/>
    </xf>
    <xf numFmtId="0" fontId="0" fillId="0" borderId="55" xfId="0" applyBorder="1" applyAlignment="1">
      <alignment wrapText="1"/>
    </xf>
    <xf numFmtId="0" fontId="50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50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50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50" fillId="38" borderId="1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50" fillId="0" borderId="29" xfId="0" applyFont="1" applyBorder="1" applyAlignment="1">
      <alignment wrapText="1"/>
    </xf>
    <xf numFmtId="0" fontId="0" fillId="0" borderId="29" xfId="0" applyBorder="1" applyAlignment="1">
      <alignment wrapText="1"/>
    </xf>
    <xf numFmtId="0" fontId="52" fillId="35" borderId="10" xfId="0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50" fillId="38" borderId="26" xfId="0" applyFont="1" applyFill="1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50" fillId="38" borderId="27" xfId="0" applyFont="1" applyFill="1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50" fillId="38" borderId="46" xfId="0" applyFont="1" applyFill="1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0" fillId="0" borderId="27" xfId="0" applyFont="1" applyBorder="1" applyAlignment="1">
      <alignment wrapText="1"/>
    </xf>
    <xf numFmtId="0" fontId="50" fillId="38" borderId="10" xfId="0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2" fontId="54" fillId="0" borderId="10" xfId="0" applyNumberFormat="1" applyFont="1" applyBorder="1" applyAlignment="1">
      <alignment horizontal="left" vertical="center" wrapText="1"/>
    </xf>
    <xf numFmtId="2" fontId="0" fillId="0" borderId="19" xfId="0" applyNumberFormat="1" applyBorder="1" applyAlignment="1">
      <alignment horizontal="left" vertical="center" wrapText="1"/>
    </xf>
    <xf numFmtId="0" fontId="50" fillId="0" borderId="26" xfId="0" applyFont="1" applyBorder="1" applyAlignment="1">
      <alignment wrapText="1"/>
    </xf>
    <xf numFmtId="0" fontId="52" fillId="35" borderId="10" xfId="0" applyFont="1" applyFill="1" applyBorder="1" applyAlignment="1">
      <alignment/>
    </xf>
    <xf numFmtId="0" fontId="52" fillId="35" borderId="18" xfId="0" applyFont="1" applyFill="1" applyBorder="1" applyAlignment="1">
      <alignment/>
    </xf>
    <xf numFmtId="0" fontId="3" fillId="42" borderId="23" xfId="0" applyFont="1" applyFill="1" applyBorder="1" applyAlignment="1" applyProtection="1">
      <alignment horizontal="center"/>
      <protection/>
    </xf>
    <xf numFmtId="0" fontId="52" fillId="35" borderId="38" xfId="0" applyFont="1" applyFill="1" applyBorder="1" applyAlignment="1" applyProtection="1">
      <alignment horizontal="center" wrapText="1"/>
      <protection/>
    </xf>
    <xf numFmtId="0" fontId="2" fillId="38" borderId="14" xfId="0" applyFont="1" applyFill="1" applyBorder="1" applyAlignment="1" applyProtection="1">
      <alignment/>
      <protection/>
    </xf>
    <xf numFmtId="0" fontId="0" fillId="38" borderId="14" xfId="0" applyFill="1" applyBorder="1" applyAlignment="1">
      <alignment/>
    </xf>
    <xf numFmtId="0" fontId="52" fillId="35" borderId="10" xfId="0" applyFont="1" applyFill="1" applyBorder="1" applyAlignment="1">
      <alignment wrapText="1"/>
    </xf>
    <xf numFmtId="0" fontId="52" fillId="35" borderId="18" xfId="0" applyFont="1" applyFill="1" applyBorder="1" applyAlignment="1">
      <alignment wrapText="1"/>
    </xf>
    <xf numFmtId="0" fontId="52" fillId="35" borderId="19" xfId="0" applyFont="1" applyFill="1" applyBorder="1" applyAlignment="1">
      <alignment wrapText="1"/>
    </xf>
    <xf numFmtId="0" fontId="52" fillId="35" borderId="11" xfId="0" applyFont="1" applyFill="1" applyBorder="1" applyAlignment="1">
      <alignment horizontal="center"/>
    </xf>
    <xf numFmtId="0" fontId="50" fillId="37" borderId="26" xfId="0" applyFont="1" applyFill="1" applyBorder="1" applyAlignment="1">
      <alignment/>
    </xf>
    <xf numFmtId="0" fontId="50" fillId="37" borderId="54" xfId="0" applyFont="1" applyFill="1" applyBorder="1" applyAlignment="1">
      <alignment/>
    </xf>
    <xf numFmtId="0" fontId="50" fillId="37" borderId="55" xfId="0" applyFont="1" applyFill="1" applyBorder="1" applyAlignment="1">
      <alignment/>
    </xf>
    <xf numFmtId="0" fontId="50" fillId="37" borderId="46" xfId="0" applyFont="1" applyFill="1" applyBorder="1" applyAlignment="1">
      <alignment/>
    </xf>
    <xf numFmtId="0" fontId="50" fillId="37" borderId="47" xfId="0" applyFont="1" applyFill="1" applyBorder="1" applyAlignment="1">
      <alignment/>
    </xf>
    <xf numFmtId="0" fontId="50" fillId="37" borderId="48" xfId="0" applyFont="1" applyFill="1" applyBorder="1" applyAlignment="1">
      <alignment/>
    </xf>
    <xf numFmtId="0" fontId="50" fillId="37" borderId="27" xfId="0" applyFont="1" applyFill="1" applyBorder="1" applyAlignment="1">
      <alignment/>
    </xf>
    <xf numFmtId="0" fontId="50" fillId="37" borderId="38" xfId="0" applyFont="1" applyFill="1" applyBorder="1" applyAlignment="1">
      <alignment/>
    </xf>
    <xf numFmtId="0" fontId="50" fillId="37" borderId="39" xfId="0" applyFont="1" applyFill="1" applyBorder="1" applyAlignment="1">
      <alignment/>
    </xf>
    <xf numFmtId="0" fontId="50" fillId="37" borderId="38" xfId="0" applyFont="1" applyFill="1" applyBorder="1" applyAlignment="1">
      <alignment wrapText="1"/>
    </xf>
    <xf numFmtId="0" fontId="50" fillId="37" borderId="39" xfId="0" applyFont="1" applyFill="1" applyBorder="1" applyAlignment="1">
      <alignment wrapText="1"/>
    </xf>
    <xf numFmtId="0" fontId="50" fillId="37" borderId="47" xfId="0" applyFont="1" applyFill="1" applyBorder="1" applyAlignment="1">
      <alignment wrapText="1"/>
    </xf>
    <xf numFmtId="0" fontId="50" fillId="37" borderId="48" xfId="0" applyFont="1" applyFill="1" applyBorder="1" applyAlignment="1">
      <alignment wrapText="1"/>
    </xf>
    <xf numFmtId="0" fontId="50" fillId="37" borderId="10" xfId="0" applyFont="1" applyFill="1" applyBorder="1" applyAlignment="1">
      <alignment wrapText="1"/>
    </xf>
    <xf numFmtId="0" fontId="50" fillId="37" borderId="18" xfId="0" applyFont="1" applyFill="1" applyBorder="1" applyAlignment="1">
      <alignment wrapText="1"/>
    </xf>
    <xf numFmtId="0" fontId="50" fillId="37" borderId="19" xfId="0" applyFont="1" applyFill="1" applyBorder="1" applyAlignment="1">
      <alignment wrapText="1"/>
    </xf>
    <xf numFmtId="0" fontId="50" fillId="37" borderId="54" xfId="0" applyFont="1" applyFill="1" applyBorder="1" applyAlignment="1">
      <alignment wrapText="1"/>
    </xf>
    <xf numFmtId="0" fontId="50" fillId="37" borderId="55" xfId="0" applyFont="1" applyFill="1" applyBorder="1" applyAlignment="1">
      <alignment wrapText="1"/>
    </xf>
    <xf numFmtId="0" fontId="50" fillId="37" borderId="14" xfId="0" applyFont="1" applyFill="1" applyBorder="1" applyAlignment="1">
      <alignment wrapText="1"/>
    </xf>
    <xf numFmtId="0" fontId="50" fillId="37" borderId="14" xfId="0" applyFont="1" applyFill="1" applyBorder="1" applyAlignment="1">
      <alignment/>
    </xf>
    <xf numFmtId="0" fontId="52" fillId="35" borderId="30" xfId="0" applyFont="1" applyFill="1" applyBorder="1" applyAlignment="1">
      <alignment horizontal="center"/>
    </xf>
    <xf numFmtId="0" fontId="52" fillId="35" borderId="31" xfId="0" applyFont="1" applyFill="1" applyBorder="1" applyAlignment="1">
      <alignment horizontal="center"/>
    </xf>
    <xf numFmtId="0" fontId="52" fillId="35" borderId="32" xfId="0" applyFont="1" applyFill="1" applyBorder="1" applyAlignment="1">
      <alignment horizontal="center"/>
    </xf>
    <xf numFmtId="0" fontId="52" fillId="35" borderId="11" xfId="0" applyFont="1" applyFill="1" applyBorder="1" applyAlignment="1">
      <alignment wrapText="1"/>
    </xf>
    <xf numFmtId="0" fontId="52" fillId="35" borderId="11" xfId="0" applyFont="1" applyFill="1" applyBorder="1" applyAlignment="1">
      <alignment/>
    </xf>
    <xf numFmtId="0" fontId="50" fillId="37" borderId="17" xfId="0" applyFont="1" applyFill="1" applyBorder="1" applyAlignment="1">
      <alignment wrapText="1"/>
    </xf>
    <xf numFmtId="0" fontId="50" fillId="37" borderId="17" xfId="0" applyFont="1" applyFill="1" applyBorder="1" applyAlignment="1">
      <alignment/>
    </xf>
    <xf numFmtId="0" fontId="30" fillId="38" borderId="23" xfId="0" applyFont="1" applyFill="1" applyBorder="1" applyAlignment="1">
      <alignment horizontal="left" wrapText="1"/>
    </xf>
    <xf numFmtId="0" fontId="31" fillId="38" borderId="23" xfId="0" applyFont="1" applyFill="1" applyBorder="1" applyAlignment="1">
      <alignment wrapText="1"/>
    </xf>
    <xf numFmtId="0" fontId="2" fillId="38" borderId="13" xfId="0" applyFont="1" applyFill="1" applyBorder="1" applyAlignment="1" applyProtection="1">
      <alignment/>
      <protection/>
    </xf>
    <xf numFmtId="0" fontId="0" fillId="38" borderId="13" xfId="0" applyFill="1" applyBorder="1" applyAlignment="1">
      <alignment/>
    </xf>
    <xf numFmtId="0" fontId="50" fillId="38" borderId="30" xfId="0" applyFont="1" applyFill="1" applyBorder="1" applyAlignment="1">
      <alignment wrapText="1"/>
    </xf>
    <xf numFmtId="0" fontId="0" fillId="38" borderId="32" xfId="0" applyFill="1" applyBorder="1" applyAlignment="1">
      <alignment wrapText="1"/>
    </xf>
    <xf numFmtId="0" fontId="2" fillId="37" borderId="26" xfId="0" applyFont="1" applyFill="1" applyBorder="1" applyAlignment="1">
      <alignment/>
    </xf>
    <xf numFmtId="0" fontId="0" fillId="37" borderId="55" xfId="0" applyFill="1" applyBorder="1" applyAlignment="1">
      <alignment/>
    </xf>
    <xf numFmtId="0" fontId="2" fillId="38" borderId="15" xfId="0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50" fillId="38" borderId="10" xfId="0" applyFont="1" applyFill="1" applyBorder="1" applyAlignment="1">
      <alignment wrapText="1"/>
    </xf>
    <xf numFmtId="0" fontId="0" fillId="38" borderId="19" xfId="0" applyFill="1" applyBorder="1" applyAlignment="1">
      <alignment wrapText="1"/>
    </xf>
    <xf numFmtId="0" fontId="52" fillId="35" borderId="23" xfId="0" applyFont="1" applyFill="1" applyBorder="1" applyAlignment="1">
      <alignment horizontal="left" wrapText="1"/>
    </xf>
    <xf numFmtId="0" fontId="34" fillId="35" borderId="23" xfId="0" applyFont="1" applyFill="1" applyBorder="1" applyAlignment="1">
      <alignment wrapText="1"/>
    </xf>
    <xf numFmtId="0" fontId="49" fillId="0" borderId="39" xfId="0" applyFont="1" applyBorder="1" applyAlignment="1">
      <alignment wrapText="1"/>
    </xf>
    <xf numFmtId="0" fontId="52" fillId="35" borderId="11" xfId="0" applyFont="1" applyFill="1" applyBorder="1" applyAlignment="1">
      <alignment horizontal="center" vertical="center"/>
    </xf>
    <xf numFmtId="173" fontId="50" fillId="38" borderId="23" xfId="0" applyNumberFormat="1" applyFont="1" applyFill="1" applyBorder="1" applyAlignment="1">
      <alignment/>
    </xf>
    <xf numFmtId="173" fontId="50" fillId="0" borderId="46" xfId="0" applyNumberFormat="1" applyFont="1" applyBorder="1" applyAlignment="1">
      <alignment/>
    </xf>
    <xf numFmtId="173" fontId="50" fillId="38" borderId="57" xfId="0" applyNumberFormat="1" applyFont="1" applyFill="1" applyBorder="1" applyAlignment="1">
      <alignment/>
    </xf>
    <xf numFmtId="173" fontId="50" fillId="38" borderId="21" xfId="0" applyNumberFormat="1" applyFont="1" applyFill="1" applyBorder="1" applyAlignment="1">
      <alignment/>
    </xf>
    <xf numFmtId="173" fontId="50" fillId="38" borderId="49" xfId="0" applyNumberFormat="1" applyFont="1" applyFill="1" applyBorder="1" applyAlignment="1">
      <alignment/>
    </xf>
    <xf numFmtId="173" fontId="50" fillId="38" borderId="39" xfId="0" applyNumberFormat="1" applyFont="1" applyFill="1" applyBorder="1" applyAlignment="1">
      <alignment/>
    </xf>
    <xf numFmtId="173" fontId="50" fillId="38" borderId="35" xfId="0" applyNumberFormat="1" applyFont="1" applyFill="1" applyBorder="1" applyAlignment="1">
      <alignment/>
    </xf>
    <xf numFmtId="173" fontId="50" fillId="38" borderId="58" xfId="0" applyNumberFormat="1" applyFont="1" applyFill="1" applyBorder="1" applyAlignment="1">
      <alignment/>
    </xf>
    <xf numFmtId="173" fontId="50" fillId="38" borderId="48" xfId="0" applyNumberFormat="1" applyFont="1" applyFill="1" applyBorder="1" applyAlignment="1">
      <alignment/>
    </xf>
    <xf numFmtId="173" fontId="50" fillId="38" borderId="25" xfId="0" applyNumberFormat="1" applyFont="1" applyFill="1" applyBorder="1" applyAlignment="1">
      <alignment/>
    </xf>
    <xf numFmtId="172" fontId="51" fillId="36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XXXXX%20-%20GESTION\CURSO%20GCIAS\CCT\XX%20GANANCIAS\2019\Ganancias%202019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2019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2"/>
  <sheetViews>
    <sheetView zoomScalePageLayoutView="0" workbookViewId="0" topLeftCell="A1">
      <selection activeCell="I175" sqref="I175"/>
    </sheetView>
  </sheetViews>
  <sheetFormatPr defaultColWidth="0" defaultRowHeight="15"/>
  <cols>
    <col min="1" max="1" width="28.7109375" style="2" customWidth="1"/>
    <col min="2" max="8" width="10.7109375" style="2" bestFit="1" customWidth="1"/>
    <col min="9" max="9" width="13.57421875" style="2" bestFit="1" customWidth="1"/>
    <col min="10" max="13" width="10.7109375" style="2" bestFit="1" customWidth="1"/>
    <col min="14" max="14" width="9.00390625" style="2" bestFit="1" customWidth="1"/>
    <col min="15" max="15" width="8.28125" style="2" bestFit="1" customWidth="1"/>
    <col min="16" max="16" width="8.7109375" style="2" customWidth="1"/>
    <col min="17" max="17" width="7.7109375" style="2" customWidth="1"/>
    <col min="18" max="16384" width="11.421875" style="5" hidden="1" customWidth="1"/>
  </cols>
  <sheetData>
    <row r="1" spans="1:5" ht="12.75" thickBot="1">
      <c r="A1" s="1" t="s">
        <v>91</v>
      </c>
      <c r="B1" s="93" t="s">
        <v>92</v>
      </c>
      <c r="D1" s="3" t="s">
        <v>33</v>
      </c>
      <c r="E1" s="4">
        <v>12</v>
      </c>
    </row>
    <row r="2" spans="1:9" ht="13.5" thickBot="1">
      <c r="A2" s="98"/>
      <c r="B2" s="99"/>
      <c r="I2" s="6"/>
    </row>
    <row r="3" ht="12.75" thickBot="1"/>
    <row r="4" spans="1:14" ht="12.75" thickBot="1">
      <c r="A4" s="7" t="s">
        <v>89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12</v>
      </c>
    </row>
    <row r="5" spans="1:15" ht="12.75" thickBot="1">
      <c r="A5" s="7" t="s">
        <v>90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120</v>
      </c>
      <c r="O5" s="7" t="s">
        <v>14</v>
      </c>
    </row>
    <row r="6" spans="1:15" ht="12">
      <c r="A6" s="8" t="s">
        <v>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>
        <f aca="true" t="shared" si="0" ref="O6:O16">+SUM(B6:M6)</f>
        <v>0</v>
      </c>
    </row>
    <row r="7" spans="1:15" ht="12">
      <c r="A7" s="11" t="s">
        <v>98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>
        <f>+SUM(B7:N7)</f>
        <v>0</v>
      </c>
    </row>
    <row r="8" spans="1:15" ht="12">
      <c r="A8" s="11" t="s">
        <v>112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>
        <f t="shared" si="0"/>
        <v>0</v>
      </c>
    </row>
    <row r="9" spans="1:15" ht="12">
      <c r="A9" s="11" t="s">
        <v>119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>
        <f t="shared" si="0"/>
        <v>0</v>
      </c>
    </row>
    <row r="10" spans="1:15" s="2" customFormat="1" ht="12">
      <c r="A10" s="11" t="s">
        <v>113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>
        <f t="shared" si="0"/>
        <v>0</v>
      </c>
    </row>
    <row r="11" spans="1:17" s="2" customFormat="1" ht="12">
      <c r="A11" s="11" t="s">
        <v>118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>
        <f t="shared" si="0"/>
        <v>0</v>
      </c>
      <c r="P11" s="6"/>
      <c r="Q11" s="6"/>
    </row>
    <row r="12" spans="1:17" s="2" customFormat="1" ht="12">
      <c r="A12" s="11" t="s">
        <v>25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>
        <f t="shared" si="0"/>
        <v>0</v>
      </c>
      <c r="Q12" s="6"/>
    </row>
    <row r="13" spans="1:17" s="2" customFormat="1" ht="12">
      <c r="A13" s="11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>
        <f t="shared" si="0"/>
        <v>0</v>
      </c>
      <c r="Q13" s="6"/>
    </row>
    <row r="14" spans="1:15" s="2" customFormat="1" ht="12">
      <c r="A14" s="11" t="s">
        <v>117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>
        <f t="shared" si="0"/>
        <v>0</v>
      </c>
    </row>
    <row r="15" spans="1:17" s="2" customFormat="1" ht="12">
      <c r="A15" s="11" t="s">
        <v>23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>
        <f t="shared" si="0"/>
        <v>0</v>
      </c>
      <c r="Q15" s="6"/>
    </row>
    <row r="16" spans="1:15" s="2" customFormat="1" ht="12">
      <c r="A16" s="11" t="s">
        <v>24</v>
      </c>
      <c r="B16" s="12">
        <f aca="true" t="shared" si="1" ref="B16:M16">+ROUND(B15/12,2)</f>
        <v>0</v>
      </c>
      <c r="C16" s="12">
        <f t="shared" si="1"/>
        <v>0</v>
      </c>
      <c r="D16" s="12">
        <f t="shared" si="1"/>
        <v>0</v>
      </c>
      <c r="E16" s="12">
        <f t="shared" si="1"/>
        <v>0</v>
      </c>
      <c r="F16" s="12">
        <f t="shared" si="1"/>
        <v>0</v>
      </c>
      <c r="G16" s="12">
        <f t="shared" si="1"/>
        <v>0</v>
      </c>
      <c r="H16" s="12">
        <f t="shared" si="1"/>
        <v>0</v>
      </c>
      <c r="I16" s="12">
        <f t="shared" si="1"/>
        <v>0</v>
      </c>
      <c r="J16" s="12">
        <f t="shared" si="1"/>
        <v>0</v>
      </c>
      <c r="K16" s="12">
        <f t="shared" si="1"/>
        <v>0</v>
      </c>
      <c r="L16" s="12">
        <f t="shared" si="1"/>
        <v>0</v>
      </c>
      <c r="M16" s="12">
        <f t="shared" si="1"/>
        <v>0</v>
      </c>
      <c r="N16" s="12"/>
      <c r="O16" s="13">
        <f t="shared" si="0"/>
        <v>0</v>
      </c>
    </row>
    <row r="17" spans="1:15" s="2" customFormat="1" ht="12">
      <c r="A17" s="11" t="s">
        <v>107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3">
        <f>+IF(E1&gt;5,SUM(B17:N17),0)</f>
        <v>0</v>
      </c>
    </row>
    <row r="18" spans="1:15" s="2" customFormat="1" ht="12">
      <c r="A18" s="11" t="s">
        <v>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>
        <f aca="true" t="shared" si="2" ref="O18:O23">+SUM(B18:M18)</f>
        <v>0</v>
      </c>
    </row>
    <row r="19" spans="1:15" s="2" customFormat="1" ht="12">
      <c r="A19" s="11">
        <f>+""</f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>
        <f t="shared" si="2"/>
        <v>0</v>
      </c>
    </row>
    <row r="20" spans="1:15" s="2" customFormat="1" ht="12">
      <c r="A20" s="11" t="s">
        <v>31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>
        <f t="shared" si="2"/>
        <v>0</v>
      </c>
    </row>
    <row r="21" spans="1:15" s="2" customFormat="1" ht="12">
      <c r="A21" s="11" t="s">
        <v>28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>
        <f t="shared" si="2"/>
        <v>0</v>
      </c>
    </row>
    <row r="22" spans="1:15" s="2" customFormat="1" ht="12">
      <c r="A22" s="11" t="s">
        <v>32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>
        <f t="shared" si="2"/>
        <v>0</v>
      </c>
    </row>
    <row r="23" spans="1:15" s="2" customFormat="1" ht="1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>
        <f t="shared" si="2"/>
        <v>0</v>
      </c>
    </row>
    <row r="24" spans="1:15" s="2" customFormat="1" ht="12.75" thickBot="1">
      <c r="A24" s="15" t="s">
        <v>108</v>
      </c>
      <c r="B24" s="16">
        <f aca="true" t="shared" si="3" ref="B24:L24">+ROUND((SUM(B6:B13)-B11)/12,2)</f>
        <v>0</v>
      </c>
      <c r="C24" s="16">
        <f t="shared" si="3"/>
        <v>0</v>
      </c>
      <c r="D24" s="16">
        <f t="shared" si="3"/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>IF($E$1=6,-SUM(B24:G24),0)</f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>+IF($E$1=12,-SUM(B24:L24))</f>
        <v>0</v>
      </c>
      <c r="N24" s="16">
        <v>0</v>
      </c>
      <c r="O24" s="17">
        <f>+SUM(B24:N24)</f>
        <v>0</v>
      </c>
    </row>
    <row r="25" spans="1:15" s="2" customFormat="1" ht="12.75" thickBot="1">
      <c r="A25" s="18" t="s">
        <v>116</v>
      </c>
      <c r="B25" s="19">
        <f>-(SUM(B28:B30)+B32)/12</f>
        <v>0</v>
      </c>
      <c r="C25" s="19">
        <f>-(SUM(C28:C30)+C32)/12</f>
        <v>0</v>
      </c>
      <c r="D25" s="19">
        <f>-(SUM(D28:D30)+D32)/12</f>
        <v>0</v>
      </c>
      <c r="E25" s="19">
        <f aca="true" t="shared" si="4" ref="E25:L25">-(SUM(E28:E30)+E32)/12</f>
        <v>0</v>
      </c>
      <c r="F25" s="19">
        <f t="shared" si="4"/>
        <v>0</v>
      </c>
      <c r="G25" s="19">
        <f t="shared" si="4"/>
        <v>0</v>
      </c>
      <c r="H25" s="16">
        <f>IF($E$1=6,-SUM(B25:G25),0)</f>
        <v>0</v>
      </c>
      <c r="I25" s="19">
        <f t="shared" si="4"/>
        <v>0</v>
      </c>
      <c r="J25" s="19">
        <f t="shared" si="4"/>
        <v>0</v>
      </c>
      <c r="K25" s="19">
        <f t="shared" si="4"/>
        <v>0</v>
      </c>
      <c r="L25" s="19">
        <f t="shared" si="4"/>
        <v>0</v>
      </c>
      <c r="M25" s="16">
        <f>+IF($E$1=12,-SUM(B25:L25))</f>
        <v>0</v>
      </c>
      <c r="N25" s="16">
        <v>0</v>
      </c>
      <c r="O25" s="17">
        <f>+SUM(B25:N25)</f>
        <v>0</v>
      </c>
    </row>
    <row r="26" spans="1:15" s="2" customFormat="1" ht="12.75" thickBot="1">
      <c r="A26" s="20" t="s">
        <v>93</v>
      </c>
      <c r="B26" s="21">
        <f>+ROUND(SUM(B6:B21),2)</f>
        <v>0</v>
      </c>
      <c r="C26" s="21">
        <f aca="true" t="shared" si="5" ref="C26:M26">+SUM(C6:C20)</f>
        <v>0</v>
      </c>
      <c r="D26" s="21">
        <f t="shared" si="5"/>
        <v>0</v>
      </c>
      <c r="E26" s="21">
        <f t="shared" si="5"/>
        <v>0</v>
      </c>
      <c r="F26" s="21">
        <f t="shared" si="5"/>
        <v>0</v>
      </c>
      <c r="G26" s="21">
        <f t="shared" si="5"/>
        <v>0</v>
      </c>
      <c r="H26" s="21">
        <f t="shared" si="5"/>
        <v>0</v>
      </c>
      <c r="I26" s="21">
        <f t="shared" si="5"/>
        <v>0</v>
      </c>
      <c r="J26" s="21">
        <f t="shared" si="5"/>
        <v>0</v>
      </c>
      <c r="K26" s="21">
        <f>+SUM(K6:K22)</f>
        <v>0</v>
      </c>
      <c r="L26" s="21">
        <f t="shared" si="5"/>
        <v>0</v>
      </c>
      <c r="M26" s="21">
        <f t="shared" si="5"/>
        <v>0</v>
      </c>
      <c r="N26" s="21">
        <f>+SUM(N6:N20)</f>
        <v>0</v>
      </c>
      <c r="O26" s="21">
        <f>+SUM(O6:O20)</f>
        <v>0</v>
      </c>
    </row>
    <row r="27" s="2" customFormat="1" ht="12.75" thickBot="1"/>
    <row r="28" spans="1:15" s="2" customFormat="1" ht="12.75" thickBot="1">
      <c r="A28" s="8" t="s">
        <v>15</v>
      </c>
      <c r="B28" s="9">
        <f>+B49*11%</f>
        <v>0</v>
      </c>
      <c r="C28" s="9">
        <f aca="true" t="shared" si="6" ref="C28:N28">+C49*11%</f>
        <v>0</v>
      </c>
      <c r="D28" s="9">
        <f t="shared" si="6"/>
        <v>0</v>
      </c>
      <c r="E28" s="9">
        <f t="shared" si="6"/>
        <v>0</v>
      </c>
      <c r="F28" s="9">
        <f t="shared" si="6"/>
        <v>0</v>
      </c>
      <c r="G28" s="9">
        <f t="shared" si="6"/>
        <v>0</v>
      </c>
      <c r="H28" s="9">
        <f t="shared" si="6"/>
        <v>0</v>
      </c>
      <c r="I28" s="9">
        <f t="shared" si="6"/>
        <v>0</v>
      </c>
      <c r="J28" s="9">
        <f t="shared" si="6"/>
        <v>0</v>
      </c>
      <c r="K28" s="9">
        <f t="shared" si="6"/>
        <v>0</v>
      </c>
      <c r="L28" s="9">
        <f t="shared" si="6"/>
        <v>0</v>
      </c>
      <c r="M28" s="9">
        <f t="shared" si="6"/>
        <v>0</v>
      </c>
      <c r="N28" s="9">
        <f t="shared" si="6"/>
        <v>0</v>
      </c>
      <c r="O28" s="10">
        <f>+SUM(B28:N28)</f>
        <v>0</v>
      </c>
    </row>
    <row r="29" spans="1:15" s="2" customFormat="1" ht="12.75" thickBot="1">
      <c r="A29" s="11" t="s">
        <v>19</v>
      </c>
      <c r="B29" s="12">
        <f>+B28/11*3</f>
        <v>0</v>
      </c>
      <c r="C29" s="12">
        <f aca="true" t="shared" si="7" ref="C29:N29">+C28/11*3</f>
        <v>0</v>
      </c>
      <c r="D29" s="12">
        <f t="shared" si="7"/>
        <v>0</v>
      </c>
      <c r="E29" s="12">
        <f t="shared" si="7"/>
        <v>0</v>
      </c>
      <c r="F29" s="12">
        <f t="shared" si="7"/>
        <v>0</v>
      </c>
      <c r="G29" s="12">
        <f t="shared" si="7"/>
        <v>0</v>
      </c>
      <c r="H29" s="12">
        <f t="shared" si="7"/>
        <v>0</v>
      </c>
      <c r="I29" s="12">
        <f t="shared" si="7"/>
        <v>0</v>
      </c>
      <c r="J29" s="12">
        <f t="shared" si="7"/>
        <v>0</v>
      </c>
      <c r="K29" s="12">
        <f t="shared" si="7"/>
        <v>0</v>
      </c>
      <c r="L29" s="12">
        <f t="shared" si="7"/>
        <v>0</v>
      </c>
      <c r="M29" s="12">
        <f t="shared" si="7"/>
        <v>0</v>
      </c>
      <c r="N29" s="12">
        <f t="shared" si="7"/>
        <v>0</v>
      </c>
      <c r="O29" s="10">
        <f aca="true" t="shared" si="8" ref="O29:O35">+SUM(B29:N29)</f>
        <v>0</v>
      </c>
    </row>
    <row r="30" spans="1:15" s="2" customFormat="1" ht="12.75" thickBot="1">
      <c r="A30" s="11" t="s">
        <v>20</v>
      </c>
      <c r="B30" s="12">
        <f>+B29</f>
        <v>0</v>
      </c>
      <c r="C30" s="12">
        <f aca="true" t="shared" si="9" ref="C30:N30">+C29</f>
        <v>0</v>
      </c>
      <c r="D30" s="12">
        <f t="shared" si="9"/>
        <v>0</v>
      </c>
      <c r="E30" s="12">
        <f t="shared" si="9"/>
        <v>0</v>
      </c>
      <c r="F30" s="12">
        <f t="shared" si="9"/>
        <v>0</v>
      </c>
      <c r="G30" s="12">
        <f t="shared" si="9"/>
        <v>0</v>
      </c>
      <c r="H30" s="12">
        <f t="shared" si="9"/>
        <v>0</v>
      </c>
      <c r="I30" s="12">
        <f t="shared" si="9"/>
        <v>0</v>
      </c>
      <c r="J30" s="12">
        <f t="shared" si="9"/>
        <v>0</v>
      </c>
      <c r="K30" s="12">
        <f t="shared" si="9"/>
        <v>0</v>
      </c>
      <c r="L30" s="12">
        <f t="shared" si="9"/>
        <v>0</v>
      </c>
      <c r="M30" s="12">
        <f t="shared" si="9"/>
        <v>0</v>
      </c>
      <c r="N30" s="12">
        <f t="shared" si="9"/>
        <v>0</v>
      </c>
      <c r="O30" s="10">
        <f t="shared" si="8"/>
        <v>0</v>
      </c>
    </row>
    <row r="31" spans="1:15" s="2" customFormat="1" ht="12.75" thickBot="1">
      <c r="A31" s="11" t="s">
        <v>22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 t="shared" si="8"/>
        <v>0</v>
      </c>
    </row>
    <row r="32" spans="1:15" s="2" customFormat="1" ht="12.75" thickBot="1">
      <c r="A32" s="11" t="s">
        <v>21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>
        <f t="shared" si="8"/>
        <v>0</v>
      </c>
    </row>
    <row r="33" spans="1:15" s="2" customFormat="1" ht="12.75" thickBot="1">
      <c r="A33" s="11" t="s">
        <v>121</v>
      </c>
      <c r="B33" s="12">
        <f aca="true" t="shared" si="10" ref="B33:J33">+B22</f>
        <v>0</v>
      </c>
      <c r="C33" s="12">
        <f t="shared" si="10"/>
        <v>0</v>
      </c>
      <c r="D33" s="12">
        <f t="shared" si="10"/>
        <v>0</v>
      </c>
      <c r="E33" s="12">
        <f t="shared" si="10"/>
        <v>0</v>
      </c>
      <c r="F33" s="12">
        <f t="shared" si="10"/>
        <v>0</v>
      </c>
      <c r="G33" s="12">
        <f t="shared" si="10"/>
        <v>0</v>
      </c>
      <c r="H33" s="12">
        <f t="shared" si="10"/>
        <v>0</v>
      </c>
      <c r="I33" s="12">
        <f t="shared" si="10"/>
        <v>0</v>
      </c>
      <c r="J33" s="12">
        <f t="shared" si="10"/>
        <v>0</v>
      </c>
      <c r="K33" s="12">
        <f>+K22</f>
        <v>0</v>
      </c>
      <c r="L33" s="12">
        <f>+L22</f>
        <v>0</v>
      </c>
      <c r="M33" s="12">
        <f>+M22</f>
        <v>0</v>
      </c>
      <c r="N33" s="12">
        <f>+N22</f>
        <v>0</v>
      </c>
      <c r="O33" s="10">
        <f t="shared" si="8"/>
        <v>0</v>
      </c>
    </row>
    <row r="34" spans="1:15" s="2" customFormat="1" ht="12.75" thickBo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8"/>
        <v>0</v>
      </c>
    </row>
    <row r="35" spans="1:15" s="2" customFormat="1" ht="12.75" thickBot="1">
      <c r="A35" s="22" t="s">
        <v>106</v>
      </c>
      <c r="B35" s="23">
        <v>0</v>
      </c>
      <c r="C35" s="23"/>
      <c r="D35" s="23">
        <v>0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0">
        <f t="shared" si="8"/>
        <v>0</v>
      </c>
    </row>
    <row r="36" spans="1:15" s="2" customFormat="1" ht="12.75" thickBot="1">
      <c r="A36" s="20" t="s">
        <v>29</v>
      </c>
      <c r="B36" s="21">
        <f>+SUM(B28:B35)</f>
        <v>0</v>
      </c>
      <c r="C36" s="21">
        <f aca="true" t="shared" si="11" ref="C36:M36">+SUM(C28:C35)</f>
        <v>0</v>
      </c>
      <c r="D36" s="21">
        <f t="shared" si="11"/>
        <v>0</v>
      </c>
      <c r="E36" s="21">
        <f t="shared" si="11"/>
        <v>0</v>
      </c>
      <c r="F36" s="21">
        <f t="shared" si="11"/>
        <v>0</v>
      </c>
      <c r="G36" s="21">
        <f t="shared" si="11"/>
        <v>0</v>
      </c>
      <c r="H36" s="21">
        <f t="shared" si="11"/>
        <v>0</v>
      </c>
      <c r="I36" s="21">
        <f t="shared" si="11"/>
        <v>0</v>
      </c>
      <c r="J36" s="21">
        <f t="shared" si="11"/>
        <v>0</v>
      </c>
      <c r="K36" s="21">
        <f t="shared" si="11"/>
        <v>0</v>
      </c>
      <c r="L36" s="21">
        <f t="shared" si="11"/>
        <v>0</v>
      </c>
      <c r="M36" s="21">
        <f t="shared" si="11"/>
        <v>0</v>
      </c>
      <c r="N36" s="21">
        <f>+SUM(N28:N35)</f>
        <v>0</v>
      </c>
      <c r="O36" s="21">
        <f>+SUM(B36:M36)</f>
        <v>0</v>
      </c>
    </row>
    <row r="37" s="2" customFormat="1" ht="12.75" thickBot="1">
      <c r="O37" s="6"/>
    </row>
    <row r="38" spans="1:15" s="2" customFormat="1" ht="12.75" thickBot="1">
      <c r="A38" s="20" t="s">
        <v>30</v>
      </c>
      <c r="B38" s="21">
        <f>+ROUND(B26-B36,2)</f>
        <v>0</v>
      </c>
      <c r="C38" s="21">
        <f aca="true" t="shared" si="12" ref="C38:M38">+ROUND(C26-C36,2)</f>
        <v>0</v>
      </c>
      <c r="D38" s="21">
        <f t="shared" si="12"/>
        <v>0</v>
      </c>
      <c r="E38" s="21">
        <f t="shared" si="12"/>
        <v>0</v>
      </c>
      <c r="F38" s="21">
        <f t="shared" si="12"/>
        <v>0</v>
      </c>
      <c r="G38" s="21">
        <f t="shared" si="12"/>
        <v>0</v>
      </c>
      <c r="H38" s="21">
        <f t="shared" si="12"/>
        <v>0</v>
      </c>
      <c r="I38" s="21">
        <f t="shared" si="12"/>
        <v>0</v>
      </c>
      <c r="J38" s="21">
        <f t="shared" si="12"/>
        <v>0</v>
      </c>
      <c r="K38" s="21">
        <f t="shared" si="12"/>
        <v>0</v>
      </c>
      <c r="L38" s="21">
        <f t="shared" si="12"/>
        <v>0</v>
      </c>
      <c r="M38" s="21">
        <f t="shared" si="12"/>
        <v>0</v>
      </c>
      <c r="N38" s="21">
        <f>+ROUND(N26-N36,2)</f>
        <v>0</v>
      </c>
      <c r="O38" s="21">
        <f>+SUM(B38:M38)</f>
        <v>0</v>
      </c>
    </row>
    <row r="39" spans="1:15" s="2" customFormat="1" ht="12">
      <c r="A39" s="2" t="s">
        <v>109</v>
      </c>
      <c r="B39" s="6">
        <f aca="true" t="shared" si="13" ref="B39:N39">+IF($E$1=B4,$N$123,0)</f>
        <v>0</v>
      </c>
      <c r="C39" s="6">
        <f t="shared" si="13"/>
        <v>0</v>
      </c>
      <c r="D39" s="6">
        <f t="shared" si="13"/>
        <v>0</v>
      </c>
      <c r="E39" s="6">
        <f t="shared" si="13"/>
        <v>0</v>
      </c>
      <c r="F39" s="6">
        <f t="shared" si="13"/>
        <v>0</v>
      </c>
      <c r="G39" s="6">
        <f t="shared" si="13"/>
        <v>0</v>
      </c>
      <c r="H39" s="6">
        <f t="shared" si="13"/>
        <v>0</v>
      </c>
      <c r="I39" s="6">
        <f t="shared" si="13"/>
        <v>0</v>
      </c>
      <c r="J39" s="6">
        <f t="shared" si="13"/>
        <v>0</v>
      </c>
      <c r="K39" s="6">
        <f t="shared" si="13"/>
        <v>0</v>
      </c>
      <c r="L39" s="6">
        <f t="shared" si="13"/>
        <v>0</v>
      </c>
      <c r="M39" s="6">
        <f t="shared" si="13"/>
        <v>-344778.16</v>
      </c>
      <c r="N39" s="6">
        <f t="shared" si="13"/>
        <v>-344778.16</v>
      </c>
      <c r="O39" s="6"/>
    </row>
    <row r="40" spans="2:14" s="2" customFormat="1" ht="12.75" thickBo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5" s="2" customFormat="1" ht="12.75" thickBot="1">
      <c r="A41" s="24" t="s">
        <v>16</v>
      </c>
      <c r="B41" s="25">
        <v>81918.55</v>
      </c>
      <c r="C41" s="25">
        <v>81918.55</v>
      </c>
      <c r="D41" s="25">
        <v>81918.55</v>
      </c>
      <c r="E41" s="25">
        <v>81918.55</v>
      </c>
      <c r="F41" s="25">
        <v>81918.55</v>
      </c>
      <c r="G41" s="25">
        <v>81918.55</v>
      </c>
      <c r="H41" s="25">
        <v>81918.55</v>
      </c>
      <c r="I41" s="25">
        <v>81918.55</v>
      </c>
      <c r="J41" s="25">
        <v>81918.55</v>
      </c>
      <c r="K41" s="25">
        <v>97637.142</v>
      </c>
      <c r="L41" s="25">
        <v>97637.142</v>
      </c>
      <c r="M41" s="25">
        <v>105233.33</v>
      </c>
      <c r="N41" s="25">
        <v>105233.33</v>
      </c>
      <c r="O41" s="6"/>
    </row>
    <row r="42" spans="1:15" s="2" customFormat="1" ht="12">
      <c r="A42" s="26" t="s">
        <v>17</v>
      </c>
      <c r="B42" s="27">
        <v>30</v>
      </c>
      <c r="C42" s="27">
        <v>30</v>
      </c>
      <c r="D42" s="27">
        <v>30</v>
      </c>
      <c r="E42" s="27">
        <v>30</v>
      </c>
      <c r="F42" s="27">
        <f aca="true" t="shared" si="14" ref="F42:M42">30-F43</f>
        <v>30</v>
      </c>
      <c r="G42" s="27">
        <f t="shared" si="14"/>
        <v>30</v>
      </c>
      <c r="H42" s="27">
        <f t="shared" si="14"/>
        <v>30</v>
      </c>
      <c r="I42" s="27">
        <f t="shared" si="14"/>
        <v>30</v>
      </c>
      <c r="J42" s="27">
        <f t="shared" si="14"/>
        <v>30</v>
      </c>
      <c r="K42" s="27">
        <f t="shared" si="14"/>
        <v>30</v>
      </c>
      <c r="L42" s="27">
        <f t="shared" si="14"/>
        <v>30</v>
      </c>
      <c r="M42" s="27">
        <f t="shared" si="14"/>
        <v>30</v>
      </c>
      <c r="N42" s="27">
        <v>0</v>
      </c>
      <c r="O42" s="6"/>
    </row>
    <row r="43" spans="1:15" s="2" customFormat="1" ht="12">
      <c r="A43" s="28" t="s">
        <v>27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6"/>
    </row>
    <row r="44" spans="1:14" s="2" customFormat="1" ht="12.75" thickBot="1">
      <c r="A44" s="30" t="s">
        <v>18</v>
      </c>
      <c r="B44" s="31">
        <v>30</v>
      </c>
      <c r="C44" s="31">
        <v>60</v>
      </c>
      <c r="D44" s="31">
        <f>+C44+30</f>
        <v>90</v>
      </c>
      <c r="E44" s="31">
        <f aca="true" t="shared" si="15" ref="E44:L44">+D44+30</f>
        <v>120</v>
      </c>
      <c r="F44" s="31">
        <f t="shared" si="15"/>
        <v>150</v>
      </c>
      <c r="G44" s="31">
        <f t="shared" si="15"/>
        <v>180</v>
      </c>
      <c r="H44" s="31">
        <v>30</v>
      </c>
      <c r="I44" s="31">
        <v>60</v>
      </c>
      <c r="J44" s="31">
        <f t="shared" si="15"/>
        <v>90</v>
      </c>
      <c r="K44" s="31">
        <f t="shared" si="15"/>
        <v>120</v>
      </c>
      <c r="L44" s="31">
        <f t="shared" si="15"/>
        <v>150</v>
      </c>
      <c r="M44" s="31">
        <v>90</v>
      </c>
      <c r="N44" s="31">
        <v>180</v>
      </c>
    </row>
    <row r="45" s="2" customFormat="1" ht="12.75" thickBot="1"/>
    <row r="46" spans="1:14" s="2" customFormat="1" ht="12">
      <c r="A46" s="32" t="s">
        <v>101</v>
      </c>
      <c r="B46" s="33">
        <f>+IF((SUM(B6:B11)+SUM(B13:B15))&gt;B41/30*B42,B41/30*B42,(SUM(B6:B11)+SUM(B13:B15)))</f>
        <v>0</v>
      </c>
      <c r="C46" s="33">
        <f>+IF((SUM(C6:C11)+SUM(C13:C15))&gt;C41/30*C42,C41/30*C42,(SUM(C6:C11)+SUM(C13:C15)))</f>
        <v>0</v>
      </c>
      <c r="D46" s="33">
        <f>+IF((SUM(D6:D11)+SUM(D13:D15))&gt;D41/30*D42,D41/30*D42,(SUM(D6:D11)+SUM(D13:D15)))</f>
        <v>0</v>
      </c>
      <c r="E46" s="33">
        <f>+IF((SUM(E6:E11)+SUM(E13:E15))&gt;E41/30*E42,E41/30*E42,(SUM(E6:E11)+SUM(E13:E15)))</f>
        <v>0</v>
      </c>
      <c r="F46" s="33">
        <f aca="true" t="shared" si="16" ref="F46:M46">+IF((SUM(F6:F11)+SUM(F13:F15))&gt;F41/30*F42,F41/30*F42,(SUM(F6:F11)+SUM(F13:F15)))</f>
        <v>0</v>
      </c>
      <c r="G46" s="33">
        <f t="shared" si="16"/>
        <v>0</v>
      </c>
      <c r="H46" s="33">
        <f t="shared" si="16"/>
        <v>0</v>
      </c>
      <c r="I46" s="33">
        <f t="shared" si="16"/>
        <v>0</v>
      </c>
      <c r="J46" s="33">
        <f t="shared" si="16"/>
        <v>0</v>
      </c>
      <c r="K46" s="33">
        <f t="shared" si="16"/>
        <v>0</v>
      </c>
      <c r="L46" s="33">
        <f t="shared" si="16"/>
        <v>0</v>
      </c>
      <c r="M46" s="33">
        <f t="shared" si="16"/>
        <v>0</v>
      </c>
      <c r="N46" s="33">
        <f>+IF((SUM(N6:N11)+SUM(N13:N15))&gt;N41/30*N42,N41/30*N42,(SUM(N6:N11)+SUM(N13:N15)))</f>
        <v>0</v>
      </c>
    </row>
    <row r="47" spans="1:14" s="2" customFormat="1" ht="12">
      <c r="A47" s="28" t="s">
        <v>99</v>
      </c>
      <c r="B47" s="29">
        <f aca="true" t="shared" si="17" ref="B47:M47">+(IF(B12=0,0,IF(B12&gt;B41/30*B43,B41/30*B43,B12)))</f>
        <v>0</v>
      </c>
      <c r="C47" s="29">
        <f>+(IF(C12=0,0,IF(C12&gt;C41/30*C43,C41/30*C43,C12)))</f>
        <v>0</v>
      </c>
      <c r="D47" s="29">
        <f t="shared" si="17"/>
        <v>0</v>
      </c>
      <c r="E47" s="29">
        <f t="shared" si="17"/>
        <v>0</v>
      </c>
      <c r="F47" s="29">
        <f t="shared" si="17"/>
        <v>0</v>
      </c>
      <c r="G47" s="29">
        <f t="shared" si="17"/>
        <v>0</v>
      </c>
      <c r="H47" s="29">
        <f t="shared" si="17"/>
        <v>0</v>
      </c>
      <c r="I47" s="29">
        <f t="shared" si="17"/>
        <v>0</v>
      </c>
      <c r="J47" s="29">
        <f t="shared" si="17"/>
        <v>0</v>
      </c>
      <c r="K47" s="29">
        <f t="shared" si="17"/>
        <v>0</v>
      </c>
      <c r="L47" s="29">
        <f t="shared" si="17"/>
        <v>0</v>
      </c>
      <c r="M47" s="29">
        <f t="shared" si="17"/>
        <v>0</v>
      </c>
      <c r="N47" s="29">
        <f>+(IF(N12=0,0,IF(N12&gt;N41/30*N43,N41/30*N43,N12)))</f>
        <v>0</v>
      </c>
    </row>
    <row r="48" spans="1:14" s="2" customFormat="1" ht="12.75" thickBot="1">
      <c r="A48" s="30" t="s">
        <v>100</v>
      </c>
      <c r="B48" s="31">
        <f>+IF((B16+B17)&gt;B41/360*B44,B41/360*B44,B16+B17)</f>
        <v>0</v>
      </c>
      <c r="C48" s="31">
        <f>+IF(C16+C17+C14&gt;0,IF((C16+C17+C14)&gt;C41/360*C44-SUM(B48),C41/360*C44-SUM(B48),C16+C17+C14),0)</f>
        <v>0</v>
      </c>
      <c r="D48" s="31">
        <f>+IF(D16+D17&gt;0,IF((D16+D17)&gt;D41/360*D44-SUM($B48:C48),D41/360*D44-SUM($B48:C48),D16+D17),0)</f>
        <v>0</v>
      </c>
      <c r="E48" s="31">
        <f>+IF(E16+E17&gt;0,IF((E16+E17)&gt;E41/360*E44-SUM($B48:D48),E41/360*E44-SUM($B48:D48),E16+E17),0)</f>
        <v>0</v>
      </c>
      <c r="F48" s="31">
        <f>+IF(F16+F17&gt;0,IF((F16+F17)&gt;F41/360*F44-SUM($B48:E48),F41/360*F44-SUM($B48:E48),F16+F17),0)</f>
        <v>0</v>
      </c>
      <c r="G48" s="31">
        <f>+IF(G16+G17&gt;0,IF((G16+G17)&gt;G41/360*G44-SUM($B48:F48),G41/360*G44-SUM($B48:F48),G16+G17),0)</f>
        <v>0</v>
      </c>
      <c r="H48" s="31">
        <f>+IF(H16+H17&gt;0,IF((H16+H17)&gt;H41/360*H44-SUM($B48:G48),H41/360*H44-SUM($B48:G48),H16+H17),0)</f>
        <v>0</v>
      </c>
      <c r="I48" s="31">
        <f>+IF(I16+I17&gt;0,IF((I16+I17)&gt;I41/360*I44-SUM($B48:H48),I41/360*I44-SUM($B48:H48),I16+I17),0)</f>
        <v>0</v>
      </c>
      <c r="J48" s="31">
        <f>+IF(J16+J17&gt;0,IF((J16+J17)&gt;J41/360*J44-SUM($B48:I48),J41/360*J44-SUM($B48:I48),J16+J17),0)</f>
        <v>0</v>
      </c>
      <c r="K48" s="31">
        <f>+IF(K16+K17&gt;0,IF((K16+K17)&gt;K41/360*K44-SUM($B48:J48),K41/360*K44-SUM($B48:J48),K16+K17),0)</f>
        <v>0</v>
      </c>
      <c r="L48" s="31">
        <f>+IF(L16+L17&gt;0,IF((L16+L17)&gt;L41/360*L44-SUM($B48:K48),L41/360*L44-SUM($B48:K48),L16+L17),0)</f>
        <v>0</v>
      </c>
      <c r="M48" s="31">
        <f>+IF(M16+M17&gt;0,IF((M16+M17)&gt;M41/360*M44-SUM($H48:L48),M41/360*M44-SUM($H48:L48),M16+M17),0)</f>
        <v>0</v>
      </c>
      <c r="N48" s="31">
        <f>+IF(N16+N17&gt;0,IF((N16+N17)&gt;N41/360*N44-SUM($I48:M48),N41/360*N44-SUM($H48:M48),N16+N17),0)</f>
        <v>0</v>
      </c>
    </row>
    <row r="49" spans="1:14" s="2" customFormat="1" ht="12.75" thickBot="1">
      <c r="A49" s="34" t="s">
        <v>102</v>
      </c>
      <c r="B49" s="35">
        <f>+SUM(B46:B48)</f>
        <v>0</v>
      </c>
      <c r="C49" s="35">
        <f aca="true" t="shared" si="18" ref="C49:M49">+SUM(C46:C48)</f>
        <v>0</v>
      </c>
      <c r="D49" s="35">
        <f t="shared" si="18"/>
        <v>0</v>
      </c>
      <c r="E49" s="35">
        <f t="shared" si="18"/>
        <v>0</v>
      </c>
      <c r="F49" s="35">
        <f t="shared" si="18"/>
        <v>0</v>
      </c>
      <c r="G49" s="35">
        <f t="shared" si="18"/>
        <v>0</v>
      </c>
      <c r="H49" s="35">
        <f t="shared" si="18"/>
        <v>0</v>
      </c>
      <c r="I49" s="35">
        <f t="shared" si="18"/>
        <v>0</v>
      </c>
      <c r="J49" s="35">
        <f t="shared" si="18"/>
        <v>0</v>
      </c>
      <c r="K49" s="35">
        <f t="shared" si="18"/>
        <v>0</v>
      </c>
      <c r="L49" s="35">
        <f t="shared" si="18"/>
        <v>0</v>
      </c>
      <c r="M49" s="35">
        <f t="shared" si="18"/>
        <v>0</v>
      </c>
      <c r="N49" s="35">
        <f>+SUM(N46:N48)</f>
        <v>0</v>
      </c>
    </row>
    <row r="50" spans="2:4" s="2" customFormat="1" ht="12">
      <c r="B50" s="6"/>
      <c r="C50" s="6"/>
      <c r="D50" s="6"/>
    </row>
    <row r="51" s="2" customFormat="1" ht="12">
      <c r="C51" s="6"/>
    </row>
    <row r="52" s="2" customFormat="1" ht="12.75" thickBot="1"/>
    <row r="53" spans="2:14" s="2" customFormat="1" ht="12.75" thickBot="1">
      <c r="B53" s="292" t="s">
        <v>34</v>
      </c>
      <c r="C53" s="293"/>
      <c r="D53" s="293"/>
      <c r="E53" s="293"/>
      <c r="F53" s="294"/>
      <c r="I53" s="295" t="s">
        <v>63</v>
      </c>
      <c r="J53" s="296"/>
      <c r="K53" s="296"/>
      <c r="L53" s="24" t="s">
        <v>59</v>
      </c>
      <c r="M53" s="24" t="s">
        <v>60</v>
      </c>
      <c r="N53" s="24" t="s">
        <v>61</v>
      </c>
    </row>
    <row r="54" spans="2:14" s="2" customFormat="1" ht="12.75" thickBot="1">
      <c r="B54" s="36" t="s">
        <v>52</v>
      </c>
      <c r="C54" s="24" t="s">
        <v>53</v>
      </c>
      <c r="D54" s="37" t="s">
        <v>54</v>
      </c>
      <c r="E54" s="24" t="s">
        <v>55</v>
      </c>
      <c r="F54" s="38" t="s">
        <v>56</v>
      </c>
      <c r="I54" s="297" t="str">
        <f aca="true" t="shared" si="19" ref="I54:I70">+A6</f>
        <v>Sueldo Fijo</v>
      </c>
      <c r="J54" s="298"/>
      <c r="K54" s="298"/>
      <c r="L54" s="39">
        <v>0</v>
      </c>
      <c r="M54" s="39">
        <f>+O6</f>
        <v>0</v>
      </c>
      <c r="N54" s="39">
        <f aca="true" t="shared" si="20" ref="N54:N72">+L54+M54</f>
        <v>0</v>
      </c>
    </row>
    <row r="55" spans="2:14" s="2" customFormat="1" ht="12">
      <c r="B55" s="40">
        <f aca="true" t="shared" si="21" ref="B55:B63">+ROUND(D175/12*$E$1,2)</f>
        <v>0</v>
      </c>
      <c r="C55" s="40">
        <f aca="true" t="shared" si="22" ref="C55:C63">+ROUND(E175/12*$E$1,2)</f>
        <v>25754</v>
      </c>
      <c r="D55" s="40">
        <f aca="true" t="shared" si="23" ref="D55:D63">+ROUND(F175/12*$E$1,2)</f>
        <v>0</v>
      </c>
      <c r="E55" s="41">
        <f aca="true" t="shared" si="24" ref="E55:E63">+G175</f>
        <v>5</v>
      </c>
      <c r="F55" s="33">
        <f aca="true" t="shared" si="25" ref="F55:F63">+ROUND(H175/12*$E$1,2)</f>
        <v>0</v>
      </c>
      <c r="I55" s="290" t="str">
        <f t="shared" si="19"/>
        <v>Novedades del mes</v>
      </c>
      <c r="J55" s="291"/>
      <c r="K55" s="291"/>
      <c r="L55" s="42"/>
      <c r="M55" s="42">
        <f>+O7</f>
        <v>0</v>
      </c>
      <c r="N55" s="42">
        <f t="shared" si="20"/>
        <v>0</v>
      </c>
    </row>
    <row r="56" spans="2:14" s="2" customFormat="1" ht="12">
      <c r="B56" s="43">
        <f t="shared" si="21"/>
        <v>25754</v>
      </c>
      <c r="C56" s="43">
        <f t="shared" si="22"/>
        <v>51508</v>
      </c>
      <c r="D56" s="43">
        <f t="shared" si="23"/>
        <v>1288</v>
      </c>
      <c r="E56" s="44">
        <f t="shared" si="24"/>
        <v>9</v>
      </c>
      <c r="F56" s="27">
        <f t="shared" si="25"/>
        <v>25754</v>
      </c>
      <c r="I56" s="290" t="str">
        <f t="shared" si="19"/>
        <v>HORAS EXTRAS 100% EXCENTAS</v>
      </c>
      <c r="J56" s="291"/>
      <c r="K56" s="291"/>
      <c r="L56" s="42"/>
      <c r="M56" s="42">
        <f>+O8*0.5</f>
        <v>0</v>
      </c>
      <c r="N56" s="42">
        <f t="shared" si="20"/>
        <v>0</v>
      </c>
    </row>
    <row r="57" spans="2:14" s="2" customFormat="1" ht="12">
      <c r="B57" s="43">
        <f t="shared" si="21"/>
        <v>51508</v>
      </c>
      <c r="C57" s="43">
        <f t="shared" si="22"/>
        <v>77262</v>
      </c>
      <c r="D57" s="43">
        <f t="shared" si="23"/>
        <v>3606</v>
      </c>
      <c r="E57" s="44">
        <f t="shared" si="24"/>
        <v>12</v>
      </c>
      <c r="F57" s="27">
        <f t="shared" si="25"/>
        <v>51508</v>
      </c>
      <c r="I57" s="290" t="str">
        <f t="shared" si="19"/>
        <v>HORAS EXTRAS 50% EXCENTAS</v>
      </c>
      <c r="J57" s="291"/>
      <c r="K57" s="291"/>
      <c r="L57" s="42"/>
      <c r="M57" s="42">
        <f>+O9*0.666666667</f>
        <v>0</v>
      </c>
      <c r="N57" s="42">
        <f t="shared" si="20"/>
        <v>0</v>
      </c>
    </row>
    <row r="58" spans="2:14" s="2" customFormat="1" ht="12">
      <c r="B58" s="43">
        <f t="shared" si="21"/>
        <v>77262</v>
      </c>
      <c r="C58" s="43">
        <f t="shared" si="22"/>
        <v>103016</v>
      </c>
      <c r="D58" s="43">
        <f t="shared" si="23"/>
        <v>6696</v>
      </c>
      <c r="E58" s="44">
        <f t="shared" si="24"/>
        <v>15</v>
      </c>
      <c r="F58" s="27">
        <f t="shared" si="25"/>
        <v>77262</v>
      </c>
      <c r="I58" s="290" t="str">
        <f t="shared" si="19"/>
        <v>HORAS EXTRAS 50%</v>
      </c>
      <c r="J58" s="291"/>
      <c r="K58" s="291"/>
      <c r="L58" s="42"/>
      <c r="M58" s="42">
        <f>+O10</f>
        <v>0</v>
      </c>
      <c r="N58" s="42">
        <f t="shared" si="20"/>
        <v>0</v>
      </c>
    </row>
    <row r="59" spans="2:14" s="2" customFormat="1" ht="12">
      <c r="B59" s="43">
        <f t="shared" si="21"/>
        <v>103016</v>
      </c>
      <c r="C59" s="43">
        <f t="shared" si="22"/>
        <v>154524</v>
      </c>
      <c r="D59" s="43">
        <f t="shared" si="23"/>
        <v>10559</v>
      </c>
      <c r="E59" s="44">
        <f t="shared" si="24"/>
        <v>19</v>
      </c>
      <c r="F59" s="27">
        <f t="shared" si="25"/>
        <v>103016</v>
      </c>
      <c r="I59" s="290" t="str">
        <f t="shared" si="19"/>
        <v>Gratificacion no prorrateable</v>
      </c>
      <c r="J59" s="291"/>
      <c r="K59" s="291"/>
      <c r="L59" s="42"/>
      <c r="M59" s="42">
        <f>+O11</f>
        <v>0</v>
      </c>
      <c r="N59" s="42">
        <f t="shared" si="20"/>
        <v>0</v>
      </c>
    </row>
    <row r="60" spans="2:14" s="2" customFormat="1" ht="15" customHeight="1">
      <c r="B60" s="43">
        <f t="shared" si="21"/>
        <v>154524</v>
      </c>
      <c r="C60" s="43">
        <f t="shared" si="22"/>
        <v>206032</v>
      </c>
      <c r="D60" s="43">
        <f t="shared" si="23"/>
        <v>20346</v>
      </c>
      <c r="E60" s="44">
        <f t="shared" si="24"/>
        <v>23</v>
      </c>
      <c r="F60" s="27">
        <f t="shared" si="25"/>
        <v>154524</v>
      </c>
      <c r="I60" s="290" t="str">
        <f t="shared" si="19"/>
        <v>Vacaciones</v>
      </c>
      <c r="J60" s="291"/>
      <c r="K60" s="291"/>
      <c r="L60" s="42"/>
      <c r="M60" s="42">
        <f>+O12</f>
        <v>0</v>
      </c>
      <c r="N60" s="42">
        <f t="shared" si="20"/>
        <v>0</v>
      </c>
    </row>
    <row r="61" spans="2:14" s="2" customFormat="1" ht="15" customHeight="1">
      <c r="B61" s="43">
        <f t="shared" si="21"/>
        <v>206032</v>
      </c>
      <c r="C61" s="43">
        <f t="shared" si="22"/>
        <v>309048</v>
      </c>
      <c r="D61" s="43">
        <f t="shared" si="23"/>
        <v>32193</v>
      </c>
      <c r="E61" s="44">
        <f t="shared" si="24"/>
        <v>27</v>
      </c>
      <c r="F61" s="27">
        <f t="shared" si="25"/>
        <v>206032</v>
      </c>
      <c r="I61" s="278" t="str">
        <f t="shared" si="19"/>
        <v>Dto Vacaciones</v>
      </c>
      <c r="J61" s="279"/>
      <c r="K61" s="280"/>
      <c r="L61" s="42"/>
      <c r="M61" s="42">
        <f>+O13</f>
        <v>0</v>
      </c>
      <c r="N61" s="42">
        <f t="shared" si="20"/>
        <v>0</v>
      </c>
    </row>
    <row r="62" spans="2:14" s="2" customFormat="1" ht="15" customHeight="1">
      <c r="B62" s="43">
        <f t="shared" si="21"/>
        <v>309048</v>
      </c>
      <c r="C62" s="43">
        <f t="shared" si="22"/>
        <v>412064</v>
      </c>
      <c r="D62" s="43">
        <f t="shared" si="23"/>
        <v>60007</v>
      </c>
      <c r="E62" s="44">
        <f t="shared" si="24"/>
        <v>31</v>
      </c>
      <c r="F62" s="27">
        <f t="shared" si="25"/>
        <v>309048</v>
      </c>
      <c r="I62" s="278" t="str">
        <f t="shared" si="19"/>
        <v>Sac sobre gratificacion</v>
      </c>
      <c r="J62" s="279"/>
      <c r="K62" s="280"/>
      <c r="L62" s="42"/>
      <c r="M62" s="42">
        <f>+O14</f>
        <v>0</v>
      </c>
      <c r="N62" s="42">
        <f t="shared" si="20"/>
        <v>0</v>
      </c>
    </row>
    <row r="63" spans="2:14" s="2" customFormat="1" ht="15.75" customHeight="1" thickBot="1">
      <c r="B63" s="45">
        <f t="shared" si="21"/>
        <v>412064</v>
      </c>
      <c r="C63" s="45">
        <f t="shared" si="22"/>
        <v>999999999</v>
      </c>
      <c r="D63" s="45">
        <f t="shared" si="23"/>
        <v>91942</v>
      </c>
      <c r="E63" s="46">
        <f t="shared" si="24"/>
        <v>35</v>
      </c>
      <c r="F63" s="47">
        <f t="shared" si="25"/>
        <v>412064</v>
      </c>
      <c r="I63" s="278" t="str">
        <f t="shared" si="19"/>
        <v>Gratificacion / Premio prorrateable</v>
      </c>
      <c r="J63" s="279"/>
      <c r="K63" s="280"/>
      <c r="L63" s="42"/>
      <c r="M63" s="42">
        <f>+N189</f>
        <v>0</v>
      </c>
      <c r="N63" s="42">
        <f t="shared" si="20"/>
        <v>0</v>
      </c>
    </row>
    <row r="64" spans="9:14" s="2" customFormat="1" ht="15" customHeight="1">
      <c r="I64" s="278" t="str">
        <f t="shared" si="19"/>
        <v>SAC Gratificacion Premio Prorrateable</v>
      </c>
      <c r="J64" s="279"/>
      <c r="K64" s="280"/>
      <c r="L64" s="42"/>
      <c r="M64" s="42">
        <f>+N190</f>
        <v>0</v>
      </c>
      <c r="N64" s="42">
        <f t="shared" si="20"/>
        <v>0</v>
      </c>
    </row>
    <row r="65" spans="9:14" s="2" customFormat="1" ht="15" customHeight="1">
      <c r="I65" s="278" t="str">
        <f t="shared" si="19"/>
        <v>SAC (Solo imputa en diciembre)</v>
      </c>
      <c r="J65" s="279"/>
      <c r="K65" s="280"/>
      <c r="L65" s="42"/>
      <c r="M65" s="42">
        <f>+O17</f>
        <v>0</v>
      </c>
      <c r="N65" s="42">
        <f t="shared" si="20"/>
        <v>0</v>
      </c>
    </row>
    <row r="66" spans="9:14" s="2" customFormat="1" ht="12.75" thickBot="1">
      <c r="I66" s="278" t="str">
        <f t="shared" si="19"/>
        <v>Sueldo No rem</v>
      </c>
      <c r="J66" s="279"/>
      <c r="K66" s="280"/>
      <c r="L66" s="42"/>
      <c r="M66" s="42">
        <f>+O18</f>
        <v>0</v>
      </c>
      <c r="N66" s="42">
        <f t="shared" si="20"/>
        <v>0</v>
      </c>
    </row>
    <row r="67" spans="1:14" s="2" customFormat="1" ht="15.75" customHeight="1" thickBot="1">
      <c r="A67" s="90" t="s">
        <v>57</v>
      </c>
      <c r="B67" s="48" t="s">
        <v>58</v>
      </c>
      <c r="I67" s="278">
        <f t="shared" si="19"/>
      </c>
      <c r="J67" s="279"/>
      <c r="K67" s="280"/>
      <c r="L67" s="42"/>
      <c r="M67" s="42">
        <f>+O19</f>
        <v>0</v>
      </c>
      <c r="N67" s="42">
        <f t="shared" si="20"/>
        <v>0</v>
      </c>
    </row>
    <row r="68" spans="1:14" s="2" customFormat="1" ht="15" customHeight="1">
      <c r="A68" s="49" t="s">
        <v>36</v>
      </c>
      <c r="B68" s="10">
        <v>0</v>
      </c>
      <c r="I68" s="278" t="str">
        <f t="shared" si="19"/>
        <v>Conceptos indemnizatorios</v>
      </c>
      <c r="J68" s="279"/>
      <c r="K68" s="280"/>
      <c r="L68" s="42"/>
      <c r="M68" s="42">
        <f>+O20</f>
        <v>0</v>
      </c>
      <c r="N68" s="42">
        <f t="shared" si="20"/>
        <v>0</v>
      </c>
    </row>
    <row r="69" spans="1:14" s="2" customFormat="1" ht="15" customHeight="1">
      <c r="A69" s="50" t="s">
        <v>37</v>
      </c>
      <c r="B69" s="13">
        <v>0</v>
      </c>
      <c r="I69" s="278" t="str">
        <f t="shared" si="19"/>
        <v>Gratificaciones por Cese / Indemn</v>
      </c>
      <c r="J69" s="279"/>
      <c r="K69" s="280"/>
      <c r="L69" s="42"/>
      <c r="M69" s="42">
        <v>0</v>
      </c>
      <c r="N69" s="42">
        <f t="shared" si="20"/>
        <v>0</v>
      </c>
    </row>
    <row r="70" spans="1:14" s="2" customFormat="1" ht="15.75" customHeight="1">
      <c r="A70" s="50" t="s">
        <v>39</v>
      </c>
      <c r="B70" s="13">
        <v>0</v>
      </c>
      <c r="I70" s="278" t="str">
        <f t="shared" si="19"/>
        <v>Otros Beneficios </v>
      </c>
      <c r="J70" s="279"/>
      <c r="K70" s="280"/>
      <c r="L70" s="42"/>
      <c r="M70" s="42">
        <f>+O22</f>
        <v>0</v>
      </c>
      <c r="N70" s="42">
        <f t="shared" si="20"/>
        <v>0</v>
      </c>
    </row>
    <row r="71" spans="1:14" s="2" customFormat="1" ht="15.75" customHeight="1" thickBot="1">
      <c r="A71" s="50"/>
      <c r="B71" s="13"/>
      <c r="I71" s="281" t="str">
        <f>+A24</f>
        <v>SAC imputacion mensual</v>
      </c>
      <c r="J71" s="282"/>
      <c r="K71" s="283"/>
      <c r="L71" s="16"/>
      <c r="M71" s="16">
        <f>+O24</f>
        <v>0</v>
      </c>
      <c r="N71" s="16">
        <f t="shared" si="20"/>
        <v>0</v>
      </c>
    </row>
    <row r="72" spans="1:14" s="2" customFormat="1" ht="15.75" customHeight="1" thickBot="1">
      <c r="A72" s="50" t="s">
        <v>104</v>
      </c>
      <c r="B72" s="13">
        <f>+O33</f>
        <v>0</v>
      </c>
      <c r="I72" s="284" t="str">
        <f>+A25</f>
        <v>Descuentos SAC</v>
      </c>
      <c r="J72" s="285"/>
      <c r="K72" s="286"/>
      <c r="L72" s="16"/>
      <c r="M72" s="16">
        <f>+O25</f>
        <v>0</v>
      </c>
      <c r="N72" s="16">
        <f t="shared" si="20"/>
        <v>0</v>
      </c>
    </row>
    <row r="73" spans="1:17" s="2" customFormat="1" ht="12.75" thickBot="1">
      <c r="A73" s="50" t="s">
        <v>105</v>
      </c>
      <c r="B73" s="13">
        <v>0</v>
      </c>
      <c r="I73" s="265" t="str">
        <f>+A26</f>
        <v>Bruto TOPE GCIA</v>
      </c>
      <c r="J73" s="266"/>
      <c r="K73" s="267"/>
      <c r="L73" s="51">
        <f>+SUM(L54:L72)</f>
        <v>0</v>
      </c>
      <c r="M73" s="51">
        <f>+SUM(M54:M72)</f>
        <v>0</v>
      </c>
      <c r="N73" s="51">
        <f>+SUM(N54:N72)</f>
        <v>0</v>
      </c>
      <c r="Q73" s="6"/>
    </row>
    <row r="74" spans="1:2" s="2" customFormat="1" ht="12.75" thickBot="1">
      <c r="A74" s="50" t="s">
        <v>42</v>
      </c>
      <c r="B74" s="13">
        <v>0</v>
      </c>
    </row>
    <row r="75" spans="1:14" s="2" customFormat="1" ht="12.75" thickBot="1">
      <c r="A75" s="50" t="s">
        <v>43</v>
      </c>
      <c r="B75" s="13">
        <v>0</v>
      </c>
      <c r="I75" s="265" t="s">
        <v>62</v>
      </c>
      <c r="J75" s="266"/>
      <c r="K75" s="267"/>
      <c r="L75" s="24" t="s">
        <v>59</v>
      </c>
      <c r="M75" s="24" t="s">
        <v>60</v>
      </c>
      <c r="N75" s="24" t="s">
        <v>61</v>
      </c>
    </row>
    <row r="76" spans="1:14" s="2" customFormat="1" ht="12">
      <c r="A76" s="50" t="s">
        <v>72</v>
      </c>
      <c r="B76" s="13">
        <v>0</v>
      </c>
      <c r="I76" s="287" t="str">
        <f>+A28</f>
        <v>Jubilacion</v>
      </c>
      <c r="J76" s="288"/>
      <c r="K76" s="289"/>
      <c r="L76" s="39">
        <v>0</v>
      </c>
      <c r="M76" s="39">
        <f>+O28</f>
        <v>0</v>
      </c>
      <c r="N76" s="39">
        <f>+L76+M76</f>
        <v>0</v>
      </c>
    </row>
    <row r="77" spans="1:14" s="2" customFormat="1" ht="12">
      <c r="A77" s="50" t="s">
        <v>46</v>
      </c>
      <c r="B77" s="13">
        <v>0</v>
      </c>
      <c r="I77" s="278" t="str">
        <f>+A29</f>
        <v>Ley 19032</v>
      </c>
      <c r="J77" s="279"/>
      <c r="K77" s="280"/>
      <c r="L77" s="42"/>
      <c r="M77" s="42">
        <f>+O29</f>
        <v>0</v>
      </c>
      <c r="N77" s="42">
        <f>+L77+M77</f>
        <v>0</v>
      </c>
    </row>
    <row r="78" spans="1:14" s="2" customFormat="1" ht="12">
      <c r="A78" s="50" t="s">
        <v>47</v>
      </c>
      <c r="B78" s="13">
        <v>0</v>
      </c>
      <c r="I78" s="278" t="str">
        <f>+A30</f>
        <v>O. Social</v>
      </c>
      <c r="J78" s="279"/>
      <c r="K78" s="280"/>
      <c r="L78" s="42">
        <v>0</v>
      </c>
      <c r="M78" s="42">
        <f>+O30</f>
        <v>0</v>
      </c>
      <c r="N78" s="42">
        <f>+L78+M78</f>
        <v>0</v>
      </c>
    </row>
    <row r="79" spans="1:14" s="2" customFormat="1" ht="15.75" customHeight="1">
      <c r="A79" s="52"/>
      <c r="B79" s="13"/>
      <c r="I79" s="278" t="str">
        <f>+A32</f>
        <v>Sindicato</v>
      </c>
      <c r="J79" s="279"/>
      <c r="K79" s="280"/>
      <c r="L79" s="42"/>
      <c r="M79" s="42">
        <f>+O32</f>
        <v>0</v>
      </c>
      <c r="N79" s="42">
        <f>+L79+M79</f>
        <v>0</v>
      </c>
    </row>
    <row r="80" spans="1:14" s="2" customFormat="1" ht="12.75" thickBot="1">
      <c r="A80" s="50" t="s">
        <v>103</v>
      </c>
      <c r="B80" s="13">
        <v>0</v>
      </c>
      <c r="I80" s="281" t="str">
        <f>+A33</f>
        <v>Dto seguro de vida</v>
      </c>
      <c r="J80" s="282"/>
      <c r="K80" s="283"/>
      <c r="L80" s="16"/>
      <c r="M80" s="16">
        <f>+O33</f>
        <v>0</v>
      </c>
      <c r="N80" s="16">
        <f>+L80+M80</f>
        <v>0</v>
      </c>
    </row>
    <row r="81" spans="1:14" s="2" customFormat="1" ht="12.75" thickBot="1">
      <c r="A81" s="50" t="s">
        <v>50</v>
      </c>
      <c r="B81" s="13">
        <v>0</v>
      </c>
      <c r="L81" s="6"/>
      <c r="M81" s="6"/>
      <c r="N81" s="6"/>
    </row>
    <row r="82" spans="1:14" s="2" customFormat="1" ht="12.75" thickBot="1">
      <c r="A82" s="53" t="s">
        <v>51</v>
      </c>
      <c r="B82" s="13">
        <v>0</v>
      </c>
      <c r="I82" s="265" t="s">
        <v>68</v>
      </c>
      <c r="J82" s="266"/>
      <c r="K82" s="267"/>
      <c r="L82" s="51">
        <f>+SUM(L76:L81)</f>
        <v>0</v>
      </c>
      <c r="M82" s="51">
        <f>+SUM(M76:M81)</f>
        <v>0</v>
      </c>
      <c r="N82" s="51">
        <f>+SUM(N76:N81)</f>
        <v>0</v>
      </c>
    </row>
    <row r="83" spans="1:14" s="2" customFormat="1" ht="15.75" customHeight="1" thickBot="1">
      <c r="A83" s="15" t="s">
        <v>85</v>
      </c>
      <c r="B83" s="17">
        <v>0</v>
      </c>
      <c r="L83" s="6"/>
      <c r="M83" s="6"/>
      <c r="N83" s="6"/>
    </row>
    <row r="84" spans="9:13" s="2" customFormat="1" ht="12.75" thickBot="1">
      <c r="I84" s="265" t="s">
        <v>64</v>
      </c>
      <c r="J84" s="266"/>
      <c r="K84" s="266"/>
      <c r="L84" s="266"/>
      <c r="M84" s="267"/>
    </row>
    <row r="85" spans="9:14" s="2" customFormat="1" ht="12">
      <c r="I85" s="269" t="str">
        <f>+A70</f>
        <v>Servicio Doméstico</v>
      </c>
      <c r="J85" s="270"/>
      <c r="K85" s="270"/>
      <c r="L85" s="270"/>
      <c r="M85" s="271"/>
      <c r="N85" s="54">
        <f>+IF(B70&gt;B116,B116,B70)</f>
        <v>0</v>
      </c>
    </row>
    <row r="86" spans="9:14" s="2" customFormat="1" ht="12">
      <c r="I86" s="275" t="str">
        <f aca="true" t="shared" si="26" ref="I86:I92">+A72</f>
        <v>Seguro de Vida</v>
      </c>
      <c r="J86" s="276"/>
      <c r="K86" s="276"/>
      <c r="L86" s="276"/>
      <c r="M86" s="277"/>
      <c r="N86" s="42">
        <f>+IF(B72&gt;B113,B113,B72)</f>
        <v>0</v>
      </c>
    </row>
    <row r="87" spans="9:14" s="2" customFormat="1" ht="12">
      <c r="I87" s="275" t="str">
        <f t="shared" si="26"/>
        <v>Gastos de Sepelio</v>
      </c>
      <c r="J87" s="276"/>
      <c r="K87" s="276"/>
      <c r="L87" s="276"/>
      <c r="M87" s="277"/>
      <c r="N87" s="42">
        <f>+IF(B73&gt;B114,B114,B73)</f>
        <v>0</v>
      </c>
    </row>
    <row r="88" spans="9:14" s="2" customFormat="1" ht="12">
      <c r="I88" s="275" t="str">
        <f t="shared" si="26"/>
        <v>Intereses Hipotecarios</v>
      </c>
      <c r="J88" s="276"/>
      <c r="K88" s="276"/>
      <c r="L88" s="276"/>
      <c r="M88" s="277"/>
      <c r="N88" s="42">
        <f>+IF(B74&gt;B115,B115,B74)</f>
        <v>0</v>
      </c>
    </row>
    <row r="89" spans="9:14" s="2" customFormat="1" ht="12">
      <c r="I89" s="275" t="str">
        <f t="shared" si="26"/>
        <v>Alquileres</v>
      </c>
      <c r="J89" s="276"/>
      <c r="K89" s="276"/>
      <c r="L89" s="276"/>
      <c r="M89" s="277"/>
      <c r="N89" s="42">
        <f>+IF(B75&gt;B117,B117,B75)</f>
        <v>0</v>
      </c>
    </row>
    <row r="90" spans="9:14" s="2" customFormat="1" ht="12">
      <c r="I90" s="275" t="str">
        <f t="shared" si="26"/>
        <v>Aportes Jubilatorios cajas Prov.</v>
      </c>
      <c r="J90" s="276"/>
      <c r="K90" s="276"/>
      <c r="L90" s="276"/>
      <c r="M90" s="277"/>
      <c r="N90" s="42">
        <f>+B76</f>
        <v>0</v>
      </c>
    </row>
    <row r="91" spans="9:14" s="2" customFormat="1" ht="12">
      <c r="I91" s="275" t="str">
        <f t="shared" si="26"/>
        <v>Viaticos</v>
      </c>
      <c r="J91" s="276"/>
      <c r="K91" s="276"/>
      <c r="L91" s="276"/>
      <c r="M91" s="277"/>
      <c r="N91" s="42">
        <f>+B77</f>
        <v>0</v>
      </c>
    </row>
    <row r="92" spans="9:14" s="2" customFormat="1" ht="12.75" thickBot="1">
      <c r="I92" s="272" t="str">
        <f t="shared" si="26"/>
        <v>Aporte SGR</v>
      </c>
      <c r="J92" s="273"/>
      <c r="K92" s="273"/>
      <c r="L92" s="273"/>
      <c r="M92" s="274"/>
      <c r="N92" s="16">
        <f>+B78</f>
        <v>0</v>
      </c>
    </row>
    <row r="93" s="2" customFormat="1" ht="15.75" customHeight="1" thickBot="1"/>
    <row r="94" spans="9:14" s="2" customFormat="1" ht="12.75" thickBot="1">
      <c r="I94" s="265" t="s">
        <v>81</v>
      </c>
      <c r="J94" s="266"/>
      <c r="K94" s="266"/>
      <c r="L94" s="266"/>
      <c r="M94" s="267"/>
      <c r="N94" s="51">
        <f>+SUM(N85:N93)</f>
        <v>0</v>
      </c>
    </row>
    <row r="95" s="2" customFormat="1" ht="15.75" customHeight="1" thickBot="1"/>
    <row r="96" spans="9:12" s="2" customFormat="1" ht="15.75" customHeight="1" thickBot="1">
      <c r="I96" s="265" t="s">
        <v>82</v>
      </c>
      <c r="J96" s="266"/>
      <c r="K96" s="267"/>
      <c r="L96" s="51">
        <f>+ROUND(N73-N82-N94,2)</f>
        <v>0</v>
      </c>
    </row>
    <row r="97" spans="9:13" s="2" customFormat="1" ht="12.75" thickBot="1">
      <c r="I97" s="265" t="s">
        <v>81</v>
      </c>
      <c r="J97" s="266"/>
      <c r="K97" s="266"/>
      <c r="L97" s="266"/>
      <c r="M97" s="267"/>
    </row>
    <row r="98" spans="9:14" s="2" customFormat="1" ht="12">
      <c r="I98" s="269" t="str">
        <f>+A80</f>
        <v>OBRA SOCIAL PRIVADA</v>
      </c>
      <c r="J98" s="270"/>
      <c r="K98" s="270"/>
      <c r="L98" s="270"/>
      <c r="M98" s="271"/>
      <c r="N98" s="54">
        <f>+IF(B80&gt;B119,B119,B80)</f>
        <v>0</v>
      </c>
    </row>
    <row r="99" spans="9:14" s="2" customFormat="1" ht="12">
      <c r="I99" s="275" t="str">
        <f>+A81</f>
        <v>DONACIONES</v>
      </c>
      <c r="J99" s="276"/>
      <c r="K99" s="276"/>
      <c r="L99" s="276"/>
      <c r="M99" s="277"/>
      <c r="N99" s="42">
        <f>+IF(B81&gt;B118,B118,B81)</f>
        <v>0</v>
      </c>
    </row>
    <row r="100" spans="9:14" s="2" customFormat="1" ht="12.75" thickBot="1">
      <c r="I100" s="272" t="str">
        <f>+A82</f>
        <v>HONORARIOS MEDICOS</v>
      </c>
      <c r="J100" s="273"/>
      <c r="K100" s="273"/>
      <c r="L100" s="273"/>
      <c r="M100" s="274"/>
      <c r="N100" s="16">
        <f>+IF(E1=12,IF(B82&gt;B120,B120,B82),0)</f>
        <v>0</v>
      </c>
    </row>
    <row r="101" s="2" customFormat="1" ht="15.75" customHeight="1" thickBot="1">
      <c r="N101" s="6"/>
    </row>
    <row r="102" spans="9:14" s="2" customFormat="1" ht="12.75" thickBot="1">
      <c r="I102" s="265" t="s">
        <v>83</v>
      </c>
      <c r="J102" s="266"/>
      <c r="K102" s="266"/>
      <c r="L102" s="266"/>
      <c r="M102" s="267"/>
      <c r="N102" s="55">
        <f>+SUM(N98:N101)</f>
        <v>0</v>
      </c>
    </row>
    <row r="103" s="2" customFormat="1" ht="15.75" customHeight="1" thickBot="1">
      <c r="N103" s="6"/>
    </row>
    <row r="104" spans="9:14" s="2" customFormat="1" ht="12.75" thickBot="1">
      <c r="I104" s="265" t="s">
        <v>65</v>
      </c>
      <c r="J104" s="266"/>
      <c r="K104" s="266"/>
      <c r="L104" s="266"/>
      <c r="M104" s="267"/>
      <c r="N104" s="6"/>
    </row>
    <row r="105" spans="9:14" s="2" customFormat="1" ht="12">
      <c r="I105" s="269" t="str">
        <f>+A68</f>
        <v>Cónyuge</v>
      </c>
      <c r="J105" s="270"/>
      <c r="K105" s="270"/>
      <c r="L105" s="270"/>
      <c r="M105" s="271"/>
      <c r="N105" s="54">
        <f>+B68*B111</f>
        <v>0</v>
      </c>
    </row>
    <row r="106" spans="9:14" s="2" customFormat="1" ht="12.75" thickBot="1">
      <c r="I106" s="272" t="str">
        <f>+A69</f>
        <v>Hijos</v>
      </c>
      <c r="J106" s="273"/>
      <c r="K106" s="273"/>
      <c r="L106" s="273"/>
      <c r="M106" s="274"/>
      <c r="N106" s="16">
        <f>+B112*B69</f>
        <v>0</v>
      </c>
    </row>
    <row r="107" spans="9:14" s="2" customFormat="1" ht="15.75" customHeight="1" thickBot="1">
      <c r="I107" s="56"/>
      <c r="J107" s="56"/>
      <c r="K107" s="56"/>
      <c r="L107" s="56"/>
      <c r="M107" s="56"/>
      <c r="N107" s="6"/>
    </row>
    <row r="108" spans="9:14" s="2" customFormat="1" ht="12.75" thickBot="1">
      <c r="I108" s="265" t="s">
        <v>94</v>
      </c>
      <c r="J108" s="266"/>
      <c r="K108" s="266"/>
      <c r="L108" s="266"/>
      <c r="M108" s="267"/>
      <c r="N108" s="51">
        <f>SUM(N105:N107)</f>
        <v>0</v>
      </c>
    </row>
    <row r="109" spans="9:14" s="2" customFormat="1" ht="15.75" customHeight="1" thickBot="1">
      <c r="I109" s="56"/>
      <c r="J109" s="56"/>
      <c r="K109" s="56"/>
      <c r="L109" s="56"/>
      <c r="M109" s="56"/>
      <c r="N109" s="6"/>
    </row>
    <row r="110" spans="1:14" s="2" customFormat="1" ht="12.75" thickBot="1">
      <c r="A110" s="268" t="s">
        <v>73</v>
      </c>
      <c r="B110" s="268"/>
      <c r="I110" s="265" t="s">
        <v>66</v>
      </c>
      <c r="J110" s="266"/>
      <c r="K110" s="266"/>
      <c r="L110" s="266"/>
      <c r="M110" s="267"/>
      <c r="N110" s="6"/>
    </row>
    <row r="111" spans="1:14" s="2" customFormat="1" ht="12.75" thickBot="1">
      <c r="A111" s="57" t="s">
        <v>36</v>
      </c>
      <c r="B111" s="21">
        <f>+HLOOKUP($E$1,$B$153:$M$163,4,0)</f>
        <v>62385.2</v>
      </c>
      <c r="I111" s="269" t="s">
        <v>35</v>
      </c>
      <c r="J111" s="270"/>
      <c r="K111" s="270"/>
      <c r="L111" s="270"/>
      <c r="M111" s="271"/>
      <c r="N111" s="54">
        <f>+HLOOKUP($E$1,$B$153:$M$163,3,0)</f>
        <v>66917.91</v>
      </c>
    </row>
    <row r="112" spans="1:14" s="2" customFormat="1" ht="12.75" thickBot="1">
      <c r="A112" s="58" t="s">
        <v>37</v>
      </c>
      <c r="B112" s="21">
        <f>+HLOOKUP($E$1,$B$153:$M$163,5,0)</f>
        <v>31461.09</v>
      </c>
      <c r="I112" s="272" t="s">
        <v>67</v>
      </c>
      <c r="J112" s="273"/>
      <c r="K112" s="273"/>
      <c r="L112" s="273"/>
      <c r="M112" s="274"/>
      <c r="N112" s="16">
        <f>+HLOOKUP($E$1,$B$153:$M$163,6,0)</f>
        <v>321205.97</v>
      </c>
    </row>
    <row r="113" spans="1:13" s="2" customFormat="1" ht="15.75" customHeight="1" thickBot="1">
      <c r="A113" s="58" t="s">
        <v>74</v>
      </c>
      <c r="B113" s="21">
        <f>+HLOOKUP($E$1,$B$153:$M$163,8,0)</f>
        <v>996.12</v>
      </c>
      <c r="I113" s="56"/>
      <c r="J113" s="56"/>
      <c r="K113" s="56"/>
      <c r="L113" s="56"/>
      <c r="M113" s="56"/>
    </row>
    <row r="114" spans="1:14" s="2" customFormat="1" ht="12.75" thickBot="1">
      <c r="A114" s="58" t="s">
        <v>75</v>
      </c>
      <c r="B114" s="21">
        <f>+HLOOKUP($E$1,$B$153:$M$163,9,0)</f>
        <v>996.12</v>
      </c>
      <c r="I114" s="265" t="s">
        <v>84</v>
      </c>
      <c r="J114" s="266"/>
      <c r="K114" s="266"/>
      <c r="L114" s="266"/>
      <c r="M114" s="267"/>
      <c r="N114" s="55">
        <f>+SUM(N111:N112)</f>
        <v>388123.88</v>
      </c>
    </row>
    <row r="115" spans="1:14" s="2" customFormat="1" ht="12.75" thickBot="1">
      <c r="A115" s="58" t="s">
        <v>76</v>
      </c>
      <c r="B115" s="21">
        <f>+HLOOKUP($E$1,$B$153:$M$163,10,0)</f>
        <v>20000</v>
      </c>
      <c r="I115" s="56"/>
      <c r="J115" s="56"/>
      <c r="K115" s="56"/>
      <c r="L115" s="56"/>
      <c r="M115" s="56"/>
      <c r="N115" s="6"/>
    </row>
    <row r="116" spans="1:14" s="2" customFormat="1" ht="12.75" thickBot="1">
      <c r="A116" s="58" t="s">
        <v>77</v>
      </c>
      <c r="B116" s="21">
        <f>+HLOOKUP($E$1,$B$153:$M$163,7,0)</f>
        <v>66917.91</v>
      </c>
      <c r="I116" s="257" t="s">
        <v>69</v>
      </c>
      <c r="J116" s="258"/>
      <c r="K116" s="258"/>
      <c r="L116" s="37"/>
      <c r="M116" s="37"/>
      <c r="N116" s="51">
        <f>+N73-N82-N94-N102-N108-N114+N135</f>
        <v>-388123.88</v>
      </c>
    </row>
    <row r="117" spans="1:14" s="2" customFormat="1" ht="12.75" thickBot="1">
      <c r="A117" s="58" t="s">
        <v>43</v>
      </c>
      <c r="B117" s="21">
        <f>+B116</f>
        <v>66917.91</v>
      </c>
      <c r="I117" s="257" t="s">
        <v>110</v>
      </c>
      <c r="J117" s="258"/>
      <c r="K117" s="258"/>
      <c r="L117" s="37"/>
      <c r="M117" s="37"/>
      <c r="N117" s="51">
        <f>+N73-N82-N94-N102-N108-N114+N135-N146</f>
        <v>-388123.88</v>
      </c>
    </row>
    <row r="118" spans="1:14" s="2" customFormat="1" ht="12.75" thickBot="1">
      <c r="A118" s="59" t="s">
        <v>79</v>
      </c>
      <c r="B118" s="21">
        <f>+L96*5%</f>
        <v>0</v>
      </c>
      <c r="I118" s="257" t="s">
        <v>86</v>
      </c>
      <c r="J118" s="258"/>
      <c r="K118" s="258"/>
      <c r="L118" s="60"/>
      <c r="M118" s="60"/>
      <c r="N118" s="61">
        <f>IF(AND(N117&lt;0,N116&gt;0),N116*0.05,IF(N116&gt;0,ROUND(LOOKUP(N117,B55:D63)+((N116-LOOKUP(N117,B55:F63))*LOOKUP(N117,B55:E63)/100),2),0))</f>
        <v>0</v>
      </c>
    </row>
    <row r="119" spans="1:14" s="2" customFormat="1" ht="12.75" thickBot="1">
      <c r="A119" s="58" t="s">
        <v>78</v>
      </c>
      <c r="B119" s="21">
        <f>+B118</f>
        <v>0</v>
      </c>
      <c r="N119" s="6"/>
    </row>
    <row r="120" spans="1:16" s="2" customFormat="1" ht="12.75" thickBot="1">
      <c r="A120" s="62" t="s">
        <v>80</v>
      </c>
      <c r="B120" s="21">
        <f>+B119</f>
        <v>0</v>
      </c>
      <c r="I120" s="63" t="s">
        <v>71</v>
      </c>
      <c r="J120" s="64"/>
      <c r="K120" s="64"/>
      <c r="L120" s="65"/>
      <c r="M120" s="65"/>
      <c r="N120" s="66">
        <f>+O35</f>
        <v>0</v>
      </c>
      <c r="P120" s="6"/>
    </row>
    <row r="121" spans="1:16" s="2" customFormat="1" ht="12.75" thickBot="1">
      <c r="A121" s="15" t="s">
        <v>85</v>
      </c>
      <c r="B121" s="21">
        <f>+IF(B83&gt;N118,N118,B83)</f>
        <v>0</v>
      </c>
      <c r="I121" s="91" t="s">
        <v>85</v>
      </c>
      <c r="J121" s="92"/>
      <c r="K121" s="92"/>
      <c r="L121" s="37"/>
      <c r="M121" s="37"/>
      <c r="N121" s="67">
        <f>IF(E1=12,+B121,0)</f>
        <v>0</v>
      </c>
      <c r="P121" s="6"/>
    </row>
    <row r="122" spans="1:16" s="2" customFormat="1" ht="12.75" thickBot="1">
      <c r="A122" s="102"/>
      <c r="B122" s="103"/>
      <c r="I122" s="96" t="s">
        <v>126</v>
      </c>
      <c r="J122" s="97"/>
      <c r="K122" s="97"/>
      <c r="L122" s="60"/>
      <c r="M122" s="60"/>
      <c r="N122" s="68">
        <v>344778.16</v>
      </c>
      <c r="P122" s="6"/>
    </row>
    <row r="123" spans="9:14" ht="12.75" thickBot="1">
      <c r="I123" s="91" t="s">
        <v>70</v>
      </c>
      <c r="J123" s="92"/>
      <c r="K123" s="92"/>
      <c r="L123" s="60"/>
      <c r="M123" s="60"/>
      <c r="N123" s="68">
        <f>+N118-N120-N121-N122</f>
        <v>-344778.16</v>
      </c>
    </row>
    <row r="124" s="2" customFormat="1" ht="12.75" thickBot="1"/>
    <row r="125" spans="1:13" s="2" customFormat="1" ht="12">
      <c r="A125" s="7" t="str">
        <f>+A4</f>
        <v>Tabla</v>
      </c>
      <c r="B125" s="7">
        <f aca="true" t="shared" si="27" ref="B125:M125">+B4</f>
        <v>1</v>
      </c>
      <c r="C125" s="7">
        <f t="shared" si="27"/>
        <v>2</v>
      </c>
      <c r="D125" s="7">
        <f t="shared" si="27"/>
        <v>3</v>
      </c>
      <c r="E125" s="7">
        <f t="shared" si="27"/>
        <v>4</v>
      </c>
      <c r="F125" s="7">
        <f t="shared" si="27"/>
        <v>5</v>
      </c>
      <c r="G125" s="7">
        <f t="shared" si="27"/>
        <v>6</v>
      </c>
      <c r="H125" s="7">
        <f t="shared" si="27"/>
        <v>7</v>
      </c>
      <c r="I125" s="7">
        <f t="shared" si="27"/>
        <v>8</v>
      </c>
      <c r="J125" s="7">
        <f t="shared" si="27"/>
        <v>9</v>
      </c>
      <c r="K125" s="7">
        <f t="shared" si="27"/>
        <v>10</v>
      </c>
      <c r="L125" s="7">
        <f t="shared" si="27"/>
        <v>11</v>
      </c>
      <c r="M125" s="7">
        <f t="shared" si="27"/>
        <v>12</v>
      </c>
    </row>
    <row r="126" spans="1:14" s="2" customFormat="1" ht="12">
      <c r="A126" s="11" t="s">
        <v>112</v>
      </c>
      <c r="B126" s="12">
        <f>+B8*0.5</f>
        <v>0</v>
      </c>
      <c r="C126" s="12">
        <f>+C8*0.5</f>
        <v>0</v>
      </c>
      <c r="D126" s="12">
        <f>+D8*0.5</f>
        <v>0</v>
      </c>
      <c r="E126" s="12">
        <f>+E8*0.5</f>
        <v>0</v>
      </c>
      <c r="F126" s="12">
        <f aca="true" t="shared" si="28" ref="F126:M126">+F8*0.5</f>
        <v>0</v>
      </c>
      <c r="G126" s="12">
        <f t="shared" si="28"/>
        <v>0</v>
      </c>
      <c r="H126" s="12">
        <f t="shared" si="28"/>
        <v>0</v>
      </c>
      <c r="I126" s="12">
        <f t="shared" si="28"/>
        <v>0</v>
      </c>
      <c r="J126" s="12">
        <f t="shared" si="28"/>
        <v>0</v>
      </c>
      <c r="K126" s="12">
        <f t="shared" si="28"/>
        <v>0</v>
      </c>
      <c r="L126" s="12">
        <f t="shared" si="28"/>
        <v>0</v>
      </c>
      <c r="M126" s="12">
        <f t="shared" si="28"/>
        <v>0</v>
      </c>
      <c r="N126" s="13">
        <f>+SUM(B126:M126)</f>
        <v>0</v>
      </c>
    </row>
    <row r="127" spans="1:14" s="2" customFormat="1" ht="12">
      <c r="A127" s="11" t="s">
        <v>111</v>
      </c>
      <c r="B127" s="12">
        <f>+B9*0.666666667</f>
        <v>0</v>
      </c>
      <c r="C127" s="12">
        <f aca="true" t="shared" si="29" ref="C127:M127">+C9*0.666666667</f>
        <v>0</v>
      </c>
      <c r="D127" s="12">
        <f t="shared" si="29"/>
        <v>0</v>
      </c>
      <c r="E127" s="12">
        <f t="shared" si="29"/>
        <v>0</v>
      </c>
      <c r="F127" s="12">
        <f t="shared" si="29"/>
        <v>0</v>
      </c>
      <c r="G127" s="12">
        <f t="shared" si="29"/>
        <v>0</v>
      </c>
      <c r="H127" s="12">
        <f t="shared" si="29"/>
        <v>0</v>
      </c>
      <c r="I127" s="12">
        <f t="shared" si="29"/>
        <v>0</v>
      </c>
      <c r="J127" s="12">
        <f t="shared" si="29"/>
        <v>0</v>
      </c>
      <c r="K127" s="12">
        <f t="shared" si="29"/>
        <v>0</v>
      </c>
      <c r="L127" s="12">
        <f t="shared" si="29"/>
        <v>0</v>
      </c>
      <c r="M127" s="12">
        <f t="shared" si="29"/>
        <v>0</v>
      </c>
      <c r="N127" s="13">
        <f>+SUM(B127:M127)</f>
        <v>0</v>
      </c>
    </row>
    <row r="128" spans="1:14" s="2" customFormat="1" ht="12">
      <c r="A128" s="57" t="s">
        <v>115</v>
      </c>
      <c r="B128" s="39">
        <f>+B126+B127</f>
        <v>0</v>
      </c>
      <c r="C128" s="39">
        <f aca="true" t="shared" si="30" ref="C128:M128">+C126+C127</f>
        <v>0</v>
      </c>
      <c r="D128" s="39">
        <f t="shared" si="30"/>
        <v>0</v>
      </c>
      <c r="E128" s="39">
        <f t="shared" si="30"/>
        <v>0</v>
      </c>
      <c r="F128" s="39">
        <f t="shared" si="30"/>
        <v>0</v>
      </c>
      <c r="G128" s="39">
        <f t="shared" si="30"/>
        <v>0</v>
      </c>
      <c r="H128" s="39">
        <f t="shared" si="30"/>
        <v>0</v>
      </c>
      <c r="I128" s="39">
        <f t="shared" si="30"/>
        <v>0</v>
      </c>
      <c r="J128" s="39">
        <f t="shared" si="30"/>
        <v>0</v>
      </c>
      <c r="K128" s="39">
        <f t="shared" si="30"/>
        <v>0</v>
      </c>
      <c r="L128" s="39">
        <f t="shared" si="30"/>
        <v>0</v>
      </c>
      <c r="M128" s="39">
        <f t="shared" si="30"/>
        <v>0</v>
      </c>
      <c r="N128" s="39"/>
    </row>
    <row r="129" s="2" customFormat="1" ht="12.75" thickBot="1"/>
    <row r="130" spans="1:14" s="2" customFormat="1" ht="12">
      <c r="A130" s="8" t="s">
        <v>15</v>
      </c>
      <c r="B130" s="9">
        <f>+B128*0.11</f>
        <v>0</v>
      </c>
      <c r="C130" s="9">
        <f>+C128*0.11</f>
        <v>0</v>
      </c>
      <c r="D130" s="9">
        <f>+D128*0.11</f>
        <v>0</v>
      </c>
      <c r="E130" s="9">
        <f>+E128*0.11</f>
        <v>0</v>
      </c>
      <c r="F130" s="9">
        <f aca="true" t="shared" si="31" ref="F130:M130">+F128*0.11</f>
        <v>0</v>
      </c>
      <c r="G130" s="9">
        <f t="shared" si="31"/>
        <v>0</v>
      </c>
      <c r="H130" s="9">
        <f t="shared" si="31"/>
        <v>0</v>
      </c>
      <c r="I130" s="9">
        <f t="shared" si="31"/>
        <v>0</v>
      </c>
      <c r="J130" s="9">
        <f t="shared" si="31"/>
        <v>0</v>
      </c>
      <c r="K130" s="9">
        <f t="shared" si="31"/>
        <v>0</v>
      </c>
      <c r="L130" s="9">
        <f t="shared" si="31"/>
        <v>0</v>
      </c>
      <c r="M130" s="9">
        <f t="shared" si="31"/>
        <v>0</v>
      </c>
      <c r="N130" s="10">
        <f>+SUM(B130:M130)</f>
        <v>0</v>
      </c>
    </row>
    <row r="131" spans="1:16" s="2" customFormat="1" ht="12">
      <c r="A131" s="11" t="s">
        <v>19</v>
      </c>
      <c r="B131" s="12">
        <f>+B130/11*3</f>
        <v>0</v>
      </c>
      <c r="C131" s="12">
        <f>+C130/11*3</f>
        <v>0</v>
      </c>
      <c r="D131" s="12">
        <f>+D130/11*3</f>
        <v>0</v>
      </c>
      <c r="E131" s="12">
        <f>+E130/11*3</f>
        <v>0</v>
      </c>
      <c r="F131" s="12">
        <f aca="true" t="shared" si="32" ref="F131:M131">+F130/11*3</f>
        <v>0</v>
      </c>
      <c r="G131" s="12">
        <f t="shared" si="32"/>
        <v>0</v>
      </c>
      <c r="H131" s="12">
        <f t="shared" si="32"/>
        <v>0</v>
      </c>
      <c r="I131" s="12">
        <f t="shared" si="32"/>
        <v>0</v>
      </c>
      <c r="J131" s="12">
        <f t="shared" si="32"/>
        <v>0</v>
      </c>
      <c r="K131" s="12">
        <f t="shared" si="32"/>
        <v>0</v>
      </c>
      <c r="L131" s="12">
        <f t="shared" si="32"/>
        <v>0</v>
      </c>
      <c r="M131" s="12">
        <f t="shared" si="32"/>
        <v>0</v>
      </c>
      <c r="N131" s="13">
        <f>+SUM(B131:M131)</f>
        <v>0</v>
      </c>
      <c r="P131" s="6"/>
    </row>
    <row r="132" spans="1:14" s="2" customFormat="1" ht="12">
      <c r="A132" s="11" t="s">
        <v>20</v>
      </c>
      <c r="B132" s="12">
        <f>+B131</f>
        <v>0</v>
      </c>
      <c r="C132" s="12">
        <f>+C131</f>
        <v>0</v>
      </c>
      <c r="D132" s="12">
        <f>+D131</f>
        <v>0</v>
      </c>
      <c r="E132" s="12">
        <f>+E131</f>
        <v>0</v>
      </c>
      <c r="F132" s="12">
        <f aca="true" t="shared" si="33" ref="F132:M132">+F131</f>
        <v>0</v>
      </c>
      <c r="G132" s="12">
        <f t="shared" si="33"/>
        <v>0</v>
      </c>
      <c r="H132" s="12">
        <f t="shared" si="33"/>
        <v>0</v>
      </c>
      <c r="I132" s="12">
        <f t="shared" si="33"/>
        <v>0</v>
      </c>
      <c r="J132" s="12">
        <f t="shared" si="33"/>
        <v>0</v>
      </c>
      <c r="K132" s="12">
        <f t="shared" si="33"/>
        <v>0</v>
      </c>
      <c r="L132" s="12">
        <f t="shared" si="33"/>
        <v>0</v>
      </c>
      <c r="M132" s="12">
        <f t="shared" si="33"/>
        <v>0</v>
      </c>
      <c r="N132" s="13">
        <f>+SUM(B132:M132)</f>
        <v>0</v>
      </c>
    </row>
    <row r="133" spans="1:14" s="2" customFormat="1" ht="12">
      <c r="A133" s="11" t="s">
        <v>22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3">
        <f>+SUM(B133:M133)</f>
        <v>0</v>
      </c>
    </row>
    <row r="134" spans="1:14" s="2" customFormat="1" ht="12">
      <c r="A134" s="11" t="s">
        <v>21</v>
      </c>
      <c r="B134" s="12">
        <f>+B132/3*1</f>
        <v>0</v>
      </c>
      <c r="C134" s="12">
        <f aca="true" t="shared" si="34" ref="C134:M134">+C132/3*1</f>
        <v>0</v>
      </c>
      <c r="D134" s="12">
        <f t="shared" si="34"/>
        <v>0</v>
      </c>
      <c r="E134" s="12">
        <f t="shared" si="34"/>
        <v>0</v>
      </c>
      <c r="F134" s="12">
        <f t="shared" si="34"/>
        <v>0</v>
      </c>
      <c r="G134" s="12">
        <f t="shared" si="34"/>
        <v>0</v>
      </c>
      <c r="H134" s="12">
        <f t="shared" si="34"/>
        <v>0</v>
      </c>
      <c r="I134" s="12">
        <f t="shared" si="34"/>
        <v>0</v>
      </c>
      <c r="J134" s="12">
        <f t="shared" si="34"/>
        <v>0</v>
      </c>
      <c r="K134" s="12">
        <f t="shared" si="34"/>
        <v>0</v>
      </c>
      <c r="L134" s="12">
        <f t="shared" si="34"/>
        <v>0</v>
      </c>
      <c r="M134" s="12">
        <f t="shared" si="34"/>
        <v>0</v>
      </c>
      <c r="N134" s="13">
        <f>+SUM(B134:M134)</f>
        <v>0</v>
      </c>
    </row>
    <row r="135" spans="14:17" s="2" customFormat="1" ht="12">
      <c r="N135" s="6">
        <f>SUM(N130:N134)</f>
        <v>0</v>
      </c>
      <c r="Q135" s="6"/>
    </row>
    <row r="137" spans="1:14" s="2" customFormat="1" ht="12">
      <c r="A137" s="11" t="str">
        <f>+A8</f>
        <v>HORAS EXTRAS 100% EXCENTAS</v>
      </c>
      <c r="B137" s="12">
        <f>+B8*0.5</f>
        <v>0</v>
      </c>
      <c r="C137" s="12">
        <f>+C8*0.5</f>
        <v>0</v>
      </c>
      <c r="D137" s="12">
        <f>+D8*0.5</f>
        <v>0</v>
      </c>
      <c r="E137" s="12">
        <f>+E8*0.5</f>
        <v>0</v>
      </c>
      <c r="F137" s="12">
        <f aca="true" t="shared" si="35" ref="F137:M137">+F8*0.5</f>
        <v>0</v>
      </c>
      <c r="G137" s="12">
        <f t="shared" si="35"/>
        <v>0</v>
      </c>
      <c r="H137" s="12">
        <f t="shared" si="35"/>
        <v>0</v>
      </c>
      <c r="I137" s="12">
        <f t="shared" si="35"/>
        <v>0</v>
      </c>
      <c r="J137" s="12">
        <f t="shared" si="35"/>
        <v>0</v>
      </c>
      <c r="K137" s="12">
        <f t="shared" si="35"/>
        <v>0</v>
      </c>
      <c r="L137" s="12">
        <f t="shared" si="35"/>
        <v>0</v>
      </c>
      <c r="M137" s="12">
        <f t="shared" si="35"/>
        <v>0</v>
      </c>
      <c r="N137" s="13">
        <f>+SUM(B137:M137)</f>
        <v>0</v>
      </c>
    </row>
    <row r="138" spans="1:14" s="2" customFormat="1" ht="12">
      <c r="A138" s="11" t="str">
        <f>+A9</f>
        <v>HORAS EXTRAS 50% EXCENTAS</v>
      </c>
      <c r="B138" s="12">
        <f>+B9*0.666666667</f>
        <v>0</v>
      </c>
      <c r="C138" s="12">
        <f aca="true" t="shared" si="36" ref="C138:M138">+C9*0.666666667</f>
        <v>0</v>
      </c>
      <c r="D138" s="12">
        <f t="shared" si="36"/>
        <v>0</v>
      </c>
      <c r="E138" s="12">
        <f t="shared" si="36"/>
        <v>0</v>
      </c>
      <c r="F138" s="12">
        <f t="shared" si="36"/>
        <v>0</v>
      </c>
      <c r="G138" s="12">
        <f t="shared" si="36"/>
        <v>0</v>
      </c>
      <c r="H138" s="12">
        <f t="shared" si="36"/>
        <v>0</v>
      </c>
      <c r="I138" s="12">
        <f t="shared" si="36"/>
        <v>0</v>
      </c>
      <c r="J138" s="12">
        <f t="shared" si="36"/>
        <v>0</v>
      </c>
      <c r="K138" s="12">
        <f t="shared" si="36"/>
        <v>0</v>
      </c>
      <c r="L138" s="12">
        <f t="shared" si="36"/>
        <v>0</v>
      </c>
      <c r="M138" s="12">
        <f t="shared" si="36"/>
        <v>0</v>
      </c>
      <c r="N138" s="13">
        <f>+SUM(B138:M138)</f>
        <v>0</v>
      </c>
    </row>
    <row r="139" spans="1:14" s="2" customFormat="1" ht="12">
      <c r="A139" s="11" t="str">
        <f>+A10</f>
        <v>HORAS EXTRAS 50%</v>
      </c>
      <c r="B139" s="12">
        <f aca="true" t="shared" si="37" ref="B139:M139">+B10</f>
        <v>0</v>
      </c>
      <c r="C139" s="12">
        <f t="shared" si="37"/>
        <v>0</v>
      </c>
      <c r="D139" s="12">
        <f t="shared" si="37"/>
        <v>0</v>
      </c>
      <c r="E139" s="12">
        <f t="shared" si="37"/>
        <v>0</v>
      </c>
      <c r="F139" s="12">
        <f t="shared" si="37"/>
        <v>0</v>
      </c>
      <c r="G139" s="12">
        <f t="shared" si="37"/>
        <v>0</v>
      </c>
      <c r="H139" s="12">
        <f t="shared" si="37"/>
        <v>0</v>
      </c>
      <c r="I139" s="12">
        <f t="shared" si="37"/>
        <v>0</v>
      </c>
      <c r="J139" s="12">
        <f t="shared" si="37"/>
        <v>0</v>
      </c>
      <c r="K139" s="12">
        <f t="shared" si="37"/>
        <v>0</v>
      </c>
      <c r="L139" s="12">
        <f t="shared" si="37"/>
        <v>0</v>
      </c>
      <c r="M139" s="12">
        <f t="shared" si="37"/>
        <v>0</v>
      </c>
      <c r="N139" s="13">
        <f>+SUM(B139:M139)</f>
        <v>0</v>
      </c>
    </row>
    <row r="140" spans="1:14" s="2" customFormat="1" ht="12.75" thickBot="1">
      <c r="A140" s="57" t="s">
        <v>115</v>
      </c>
      <c r="B140" s="39">
        <f>+SUM(B137:B139)</f>
        <v>0</v>
      </c>
      <c r="C140" s="39">
        <f aca="true" t="shared" si="38" ref="C140:M140">+SUM(C137:C139)</f>
        <v>0</v>
      </c>
      <c r="D140" s="39">
        <f t="shared" si="38"/>
        <v>0</v>
      </c>
      <c r="E140" s="39">
        <f t="shared" si="38"/>
        <v>0</v>
      </c>
      <c r="F140" s="39">
        <f t="shared" si="38"/>
        <v>0</v>
      </c>
      <c r="G140" s="39">
        <f t="shared" si="38"/>
        <v>0</v>
      </c>
      <c r="H140" s="39">
        <f t="shared" si="38"/>
        <v>0</v>
      </c>
      <c r="I140" s="39">
        <f t="shared" si="38"/>
        <v>0</v>
      </c>
      <c r="J140" s="39">
        <f t="shared" si="38"/>
        <v>0</v>
      </c>
      <c r="K140" s="39">
        <f t="shared" si="38"/>
        <v>0</v>
      </c>
      <c r="L140" s="39">
        <f t="shared" si="38"/>
        <v>0</v>
      </c>
      <c r="M140" s="39">
        <f t="shared" si="38"/>
        <v>0</v>
      </c>
      <c r="N140" s="39">
        <f>+SUM(N137:N139)</f>
        <v>0</v>
      </c>
    </row>
    <row r="141" spans="1:14" s="2" customFormat="1" ht="12">
      <c r="A141" s="8" t="s">
        <v>15</v>
      </c>
      <c r="B141" s="9">
        <f>+B140*0.11</f>
        <v>0</v>
      </c>
      <c r="C141" s="9">
        <f>+C140*0.11</f>
        <v>0</v>
      </c>
      <c r="D141" s="9">
        <f>+D140*0.11</f>
        <v>0</v>
      </c>
      <c r="E141" s="9">
        <f>+E140*0.11</f>
        <v>0</v>
      </c>
      <c r="F141" s="9">
        <f aca="true" t="shared" si="39" ref="F141:M141">+F140*0.11</f>
        <v>0</v>
      </c>
      <c r="G141" s="9">
        <f t="shared" si="39"/>
        <v>0</v>
      </c>
      <c r="H141" s="9">
        <f t="shared" si="39"/>
        <v>0</v>
      </c>
      <c r="I141" s="9">
        <f t="shared" si="39"/>
        <v>0</v>
      </c>
      <c r="J141" s="9">
        <f t="shared" si="39"/>
        <v>0</v>
      </c>
      <c r="K141" s="9">
        <f t="shared" si="39"/>
        <v>0</v>
      </c>
      <c r="L141" s="9">
        <f t="shared" si="39"/>
        <v>0</v>
      </c>
      <c r="M141" s="9">
        <f t="shared" si="39"/>
        <v>0</v>
      </c>
      <c r="N141" s="10">
        <f>+SUM(B141:M141)</f>
        <v>0</v>
      </c>
    </row>
    <row r="142" spans="1:14" s="2" customFormat="1" ht="12">
      <c r="A142" s="11" t="s">
        <v>19</v>
      </c>
      <c r="B142" s="12">
        <f>+B141/11*3</f>
        <v>0</v>
      </c>
      <c r="C142" s="12">
        <f>+C141/11*3</f>
        <v>0</v>
      </c>
      <c r="D142" s="12">
        <f>+D141/11*3</f>
        <v>0</v>
      </c>
      <c r="E142" s="12">
        <f>+E141/11*3</f>
        <v>0</v>
      </c>
      <c r="F142" s="12">
        <f aca="true" t="shared" si="40" ref="F142:M142">+F141/11*3</f>
        <v>0</v>
      </c>
      <c r="G142" s="12">
        <f t="shared" si="40"/>
        <v>0</v>
      </c>
      <c r="H142" s="12">
        <f t="shared" si="40"/>
        <v>0</v>
      </c>
      <c r="I142" s="12">
        <f t="shared" si="40"/>
        <v>0</v>
      </c>
      <c r="J142" s="12">
        <f t="shared" si="40"/>
        <v>0</v>
      </c>
      <c r="K142" s="12">
        <f t="shared" si="40"/>
        <v>0</v>
      </c>
      <c r="L142" s="12">
        <f t="shared" si="40"/>
        <v>0</v>
      </c>
      <c r="M142" s="12">
        <f t="shared" si="40"/>
        <v>0</v>
      </c>
      <c r="N142" s="13">
        <f>+SUM(B142:M142)</f>
        <v>0</v>
      </c>
    </row>
    <row r="143" spans="1:14" s="2" customFormat="1" ht="12">
      <c r="A143" s="11" t="s">
        <v>20</v>
      </c>
      <c r="B143" s="12">
        <f>+B142</f>
        <v>0</v>
      </c>
      <c r="C143" s="12">
        <f>+C142</f>
        <v>0</v>
      </c>
      <c r="D143" s="12">
        <f>+D142</f>
        <v>0</v>
      </c>
      <c r="E143" s="12">
        <f>+E142</f>
        <v>0</v>
      </c>
      <c r="F143" s="12">
        <f aca="true" t="shared" si="41" ref="F143:M143">+F142</f>
        <v>0</v>
      </c>
      <c r="G143" s="12">
        <f t="shared" si="41"/>
        <v>0</v>
      </c>
      <c r="H143" s="12">
        <f t="shared" si="41"/>
        <v>0</v>
      </c>
      <c r="I143" s="12">
        <f t="shared" si="41"/>
        <v>0</v>
      </c>
      <c r="J143" s="12">
        <f t="shared" si="41"/>
        <v>0</v>
      </c>
      <c r="K143" s="12">
        <f t="shared" si="41"/>
        <v>0</v>
      </c>
      <c r="L143" s="12">
        <f t="shared" si="41"/>
        <v>0</v>
      </c>
      <c r="M143" s="12">
        <f t="shared" si="41"/>
        <v>0</v>
      </c>
      <c r="N143" s="13">
        <f>+SUM(B143:M143)</f>
        <v>0</v>
      </c>
    </row>
    <row r="144" spans="1:14" s="2" customFormat="1" ht="12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3">
        <f>+SUM(B144:M144)</f>
        <v>0</v>
      </c>
    </row>
    <row r="145" spans="1:14" s="2" customFormat="1" ht="12">
      <c r="A145" s="11" t="s">
        <v>21</v>
      </c>
      <c r="B145" s="12">
        <f>+B143/3*1</f>
        <v>0</v>
      </c>
      <c r="C145" s="12">
        <f aca="true" t="shared" si="42" ref="C145:M145">+C143/3*1</f>
        <v>0</v>
      </c>
      <c r="D145" s="12">
        <f t="shared" si="42"/>
        <v>0</v>
      </c>
      <c r="E145" s="12">
        <f t="shared" si="42"/>
        <v>0</v>
      </c>
      <c r="F145" s="12">
        <f t="shared" si="42"/>
        <v>0</v>
      </c>
      <c r="G145" s="12">
        <f t="shared" si="42"/>
        <v>0</v>
      </c>
      <c r="H145" s="12">
        <f t="shared" si="42"/>
        <v>0</v>
      </c>
      <c r="I145" s="12">
        <f t="shared" si="42"/>
        <v>0</v>
      </c>
      <c r="J145" s="12">
        <f t="shared" si="42"/>
        <v>0</v>
      </c>
      <c r="K145" s="12">
        <f t="shared" si="42"/>
        <v>0</v>
      </c>
      <c r="L145" s="12">
        <f t="shared" si="42"/>
        <v>0</v>
      </c>
      <c r="M145" s="12">
        <f t="shared" si="42"/>
        <v>0</v>
      </c>
      <c r="N145" s="13">
        <f>+SUM(B145:M145)</f>
        <v>0</v>
      </c>
    </row>
    <row r="146" spans="1:14" s="2" customFormat="1" ht="12">
      <c r="A146" s="2" t="s">
        <v>114</v>
      </c>
      <c r="B146" s="6">
        <f>+B140-B141-B142-B143-B144-B145</f>
        <v>0</v>
      </c>
      <c r="C146" s="6">
        <f>+C140-C141-C142-C143-C144-C145</f>
        <v>0</v>
      </c>
      <c r="D146" s="6">
        <f>+D140-D141-D142-D143-D144-D145</f>
        <v>0</v>
      </c>
      <c r="E146" s="6">
        <f aca="true" t="shared" si="43" ref="E146:M146">+E140-E141-E142-E143-E144-E145</f>
        <v>0</v>
      </c>
      <c r="F146" s="6">
        <f t="shared" si="43"/>
        <v>0</v>
      </c>
      <c r="G146" s="6">
        <f t="shared" si="43"/>
        <v>0</v>
      </c>
      <c r="H146" s="6">
        <f t="shared" si="43"/>
        <v>0</v>
      </c>
      <c r="I146" s="6">
        <f t="shared" si="43"/>
        <v>0</v>
      </c>
      <c r="J146" s="6">
        <f t="shared" si="43"/>
        <v>0</v>
      </c>
      <c r="K146" s="6">
        <f t="shared" si="43"/>
        <v>0</v>
      </c>
      <c r="L146" s="6">
        <f t="shared" si="43"/>
        <v>0</v>
      </c>
      <c r="M146" s="6">
        <f t="shared" si="43"/>
        <v>0</v>
      </c>
      <c r="N146" s="6">
        <f>+N140-N141-N142-N143-N144-N145</f>
        <v>0</v>
      </c>
    </row>
    <row r="147" ht="12">
      <c r="D147" s="6"/>
    </row>
    <row r="148" ht="12">
      <c r="N148" s="6"/>
    </row>
    <row r="149" ht="12.75" thickBot="1">
      <c r="E149" s="56" t="s">
        <v>97</v>
      </c>
    </row>
    <row r="150" spans="1:17" ht="12.75" thickBot="1">
      <c r="A150" s="69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1"/>
    </row>
    <row r="151" spans="1:17" ht="12.75" thickBot="1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P151" s="72"/>
      <c r="Q151" s="72"/>
    </row>
    <row r="152" spans="1:17" ht="12.75" thickBot="1">
      <c r="A152" s="259" t="s">
        <v>122</v>
      </c>
      <c r="B152" s="260"/>
      <c r="C152" s="260"/>
      <c r="D152" s="260"/>
      <c r="E152" s="260"/>
      <c r="F152" s="260"/>
      <c r="G152" s="260"/>
      <c r="H152" s="260"/>
      <c r="I152" s="260"/>
      <c r="J152" s="260"/>
      <c r="K152" s="260"/>
      <c r="L152" s="260"/>
      <c r="M152" s="261"/>
      <c r="N152" s="72"/>
      <c r="P152" s="72"/>
      <c r="Q152" s="72"/>
    </row>
    <row r="153" spans="1:17" ht="12.75" thickBot="1">
      <c r="A153" s="73"/>
      <c r="B153" s="73">
        <v>1</v>
      </c>
      <c r="C153" s="73">
        <v>2</v>
      </c>
      <c r="D153" s="73">
        <v>3</v>
      </c>
      <c r="E153" s="73">
        <v>4</v>
      </c>
      <c r="F153" s="73">
        <v>5</v>
      </c>
      <c r="G153" s="73">
        <v>6</v>
      </c>
      <c r="H153" s="73">
        <v>7</v>
      </c>
      <c r="I153" s="73">
        <v>8</v>
      </c>
      <c r="J153" s="73">
        <v>9</v>
      </c>
      <c r="K153" s="73">
        <v>10</v>
      </c>
      <c r="L153" s="73">
        <v>11</v>
      </c>
      <c r="M153" s="73">
        <v>12</v>
      </c>
      <c r="N153" s="72"/>
      <c r="P153" s="72"/>
      <c r="Q153" s="72"/>
    </row>
    <row r="154" spans="1:17" ht="12">
      <c r="A154" s="74" t="s">
        <v>96</v>
      </c>
      <c r="B154" s="75">
        <v>43101</v>
      </c>
      <c r="C154" s="75">
        <v>43132</v>
      </c>
      <c r="D154" s="75">
        <v>43160</v>
      </c>
      <c r="E154" s="75">
        <v>43191</v>
      </c>
      <c r="F154" s="75">
        <v>43221</v>
      </c>
      <c r="G154" s="75">
        <v>43252</v>
      </c>
      <c r="H154" s="75">
        <v>43282</v>
      </c>
      <c r="I154" s="75">
        <v>43313</v>
      </c>
      <c r="J154" s="75">
        <v>43344</v>
      </c>
      <c r="K154" s="75">
        <v>43374</v>
      </c>
      <c r="L154" s="75">
        <v>43405</v>
      </c>
      <c r="M154" s="75">
        <v>43435</v>
      </c>
      <c r="N154" s="72"/>
      <c r="P154" s="72"/>
      <c r="Q154" s="72"/>
    </row>
    <row r="155" spans="1:17" ht="15">
      <c r="A155" s="76" t="s">
        <v>35</v>
      </c>
      <c r="B155" s="95">
        <v>5576.4925</v>
      </c>
      <c r="C155" s="95">
        <v>11152.985</v>
      </c>
      <c r="D155" s="95">
        <v>16729.4775</v>
      </c>
      <c r="E155" s="95">
        <v>22305.97</v>
      </c>
      <c r="F155" s="95">
        <v>27882.4625</v>
      </c>
      <c r="G155" s="95">
        <v>33458.955</v>
      </c>
      <c r="H155" s="95">
        <v>39035.4475</v>
      </c>
      <c r="I155" s="95">
        <v>44611.94</v>
      </c>
      <c r="J155" s="95">
        <v>50188.4325</v>
      </c>
      <c r="K155" s="95">
        <v>55764.925</v>
      </c>
      <c r="L155" s="95">
        <v>61341.4175</v>
      </c>
      <c r="M155" s="95">
        <v>66917.91</v>
      </c>
      <c r="N155" s="72"/>
      <c r="P155" s="72"/>
      <c r="Q155" s="72"/>
    </row>
    <row r="156" spans="1:17" ht="15">
      <c r="A156" s="76" t="s">
        <v>36</v>
      </c>
      <c r="B156" s="95">
        <v>5198.7667</v>
      </c>
      <c r="C156" s="95">
        <v>10397.5334</v>
      </c>
      <c r="D156" s="95">
        <v>15596.3001</v>
      </c>
      <c r="E156" s="95">
        <v>20795.0668</v>
      </c>
      <c r="F156" s="95">
        <v>25993.8335</v>
      </c>
      <c r="G156" s="95">
        <v>31192.6002</v>
      </c>
      <c r="H156" s="95">
        <v>36391.3669</v>
      </c>
      <c r="I156" s="95">
        <v>41590.1336</v>
      </c>
      <c r="J156" s="95">
        <v>46788.9003</v>
      </c>
      <c r="K156" s="95">
        <v>51987.667</v>
      </c>
      <c r="L156" s="95">
        <v>57186.4337</v>
      </c>
      <c r="M156" s="95">
        <v>62385.2</v>
      </c>
      <c r="N156" s="72"/>
      <c r="P156" s="72"/>
      <c r="Q156" s="72"/>
    </row>
    <row r="157" spans="1:17" ht="15">
      <c r="A157" s="76" t="s">
        <v>37</v>
      </c>
      <c r="B157" s="95">
        <v>2621.7575</v>
      </c>
      <c r="C157" s="95">
        <v>5243.515</v>
      </c>
      <c r="D157" s="95">
        <v>7865.272500000001</v>
      </c>
      <c r="E157" s="95">
        <v>10487.03</v>
      </c>
      <c r="F157" s="95">
        <v>13108.7875</v>
      </c>
      <c r="G157" s="95">
        <v>15730.545000000002</v>
      </c>
      <c r="H157" s="95">
        <v>18352.3025</v>
      </c>
      <c r="I157" s="95">
        <v>20974.06</v>
      </c>
      <c r="J157" s="95">
        <v>23595.8175</v>
      </c>
      <c r="K157" s="95">
        <v>26217.575</v>
      </c>
      <c r="L157" s="95">
        <v>28839.3325</v>
      </c>
      <c r="M157" s="95">
        <v>31461.09</v>
      </c>
      <c r="N157" s="72"/>
      <c r="P157" s="72"/>
      <c r="Q157" s="72"/>
    </row>
    <row r="158" spans="1:17" ht="15">
      <c r="A158" s="76" t="s">
        <v>38</v>
      </c>
      <c r="B158" s="95">
        <v>26767.164</v>
      </c>
      <c r="C158" s="95">
        <v>53534.328</v>
      </c>
      <c r="D158" s="95">
        <v>80301.492</v>
      </c>
      <c r="E158" s="95">
        <v>107068.656</v>
      </c>
      <c r="F158" s="95">
        <v>133835.82</v>
      </c>
      <c r="G158" s="95">
        <v>160602.984</v>
      </c>
      <c r="H158" s="95">
        <v>187370.148</v>
      </c>
      <c r="I158" s="95">
        <v>214137.312</v>
      </c>
      <c r="J158" s="95">
        <v>240904.476</v>
      </c>
      <c r="K158" s="95">
        <v>267671.64</v>
      </c>
      <c r="L158" s="95">
        <v>294438.804</v>
      </c>
      <c r="M158" s="95">
        <v>321205.97</v>
      </c>
      <c r="N158" s="72"/>
      <c r="P158" s="72"/>
      <c r="Q158" s="72"/>
    </row>
    <row r="159" spans="1:17" ht="15">
      <c r="A159" s="76" t="s">
        <v>39</v>
      </c>
      <c r="B159" s="95">
        <v>5576.4925</v>
      </c>
      <c r="C159" s="95">
        <v>11152.985</v>
      </c>
      <c r="D159" s="95">
        <v>16729.4775</v>
      </c>
      <c r="E159" s="95">
        <v>22305.97</v>
      </c>
      <c r="F159" s="95">
        <v>27882.4625</v>
      </c>
      <c r="G159" s="95">
        <v>33458.955</v>
      </c>
      <c r="H159" s="95">
        <v>39035.4475</v>
      </c>
      <c r="I159" s="95">
        <v>44611.94</v>
      </c>
      <c r="J159" s="95">
        <v>50188.4325</v>
      </c>
      <c r="K159" s="95">
        <v>55764.925</v>
      </c>
      <c r="L159" s="95">
        <v>61341.4175</v>
      </c>
      <c r="M159" s="95">
        <v>66917.91</v>
      </c>
      <c r="N159" s="72"/>
      <c r="P159" s="72"/>
      <c r="Q159" s="72"/>
    </row>
    <row r="160" spans="1:17" ht="15">
      <c r="A160" s="76" t="s">
        <v>40</v>
      </c>
      <c r="B160" s="95">
        <v>83.01</v>
      </c>
      <c r="C160" s="95">
        <v>166.02</v>
      </c>
      <c r="D160" s="95">
        <v>249.03000000000003</v>
      </c>
      <c r="E160" s="95">
        <v>332.04</v>
      </c>
      <c r="F160" s="95">
        <v>415.05</v>
      </c>
      <c r="G160" s="95">
        <v>498.06000000000006</v>
      </c>
      <c r="H160" s="95">
        <v>581.07</v>
      </c>
      <c r="I160" s="95">
        <v>664.08</v>
      </c>
      <c r="J160" s="95">
        <v>747.09</v>
      </c>
      <c r="K160" s="95">
        <v>830.1</v>
      </c>
      <c r="L160" s="95">
        <v>913.11</v>
      </c>
      <c r="M160" s="95">
        <v>996.12</v>
      </c>
      <c r="N160" s="72"/>
      <c r="P160" s="72"/>
      <c r="Q160" s="72"/>
    </row>
    <row r="161" spans="1:17" ht="15">
      <c r="A161" s="76" t="s">
        <v>41</v>
      </c>
      <c r="B161" s="95">
        <v>83.01</v>
      </c>
      <c r="C161" s="95">
        <v>166.02</v>
      </c>
      <c r="D161" s="95">
        <v>249.03000000000003</v>
      </c>
      <c r="E161" s="95">
        <v>332.04</v>
      </c>
      <c r="F161" s="95">
        <v>415.05</v>
      </c>
      <c r="G161" s="95">
        <v>498.06000000000006</v>
      </c>
      <c r="H161" s="95">
        <v>581.07</v>
      </c>
      <c r="I161" s="95">
        <v>664.08</v>
      </c>
      <c r="J161" s="95">
        <v>747.09</v>
      </c>
      <c r="K161" s="95">
        <v>830.1</v>
      </c>
      <c r="L161" s="95">
        <v>913.11</v>
      </c>
      <c r="M161" s="95">
        <v>996.12</v>
      </c>
      <c r="N161" s="72"/>
      <c r="P161" s="72"/>
      <c r="Q161" s="72"/>
    </row>
    <row r="162" spans="1:17" ht="15">
      <c r="A162" s="76" t="s">
        <v>42</v>
      </c>
      <c r="B162" s="95">
        <v>1666.6666666666667</v>
      </c>
      <c r="C162" s="95">
        <v>3333.3333333333335</v>
      </c>
      <c r="D162" s="95">
        <v>5000</v>
      </c>
      <c r="E162" s="95">
        <v>6666.666666666667</v>
      </c>
      <c r="F162" s="95">
        <v>8333.333333333334</v>
      </c>
      <c r="G162" s="95">
        <v>10000</v>
      </c>
      <c r="H162" s="95">
        <v>11666.666666666668</v>
      </c>
      <c r="I162" s="95">
        <v>13333.333333333334</v>
      </c>
      <c r="J162" s="95">
        <v>15000</v>
      </c>
      <c r="K162" s="95">
        <v>16666.666666666668</v>
      </c>
      <c r="L162" s="95">
        <v>18333.333333333336</v>
      </c>
      <c r="M162" s="95">
        <v>20000</v>
      </c>
      <c r="N162" s="72"/>
      <c r="P162" s="72"/>
      <c r="Q162" s="72"/>
    </row>
    <row r="163" spans="1:17" ht="15">
      <c r="A163" s="76" t="s">
        <v>43</v>
      </c>
      <c r="B163" s="95">
        <v>5576.4925</v>
      </c>
      <c r="C163" s="95">
        <v>11152.985</v>
      </c>
      <c r="D163" s="95">
        <v>16729.4775</v>
      </c>
      <c r="E163" s="95">
        <v>22305.97</v>
      </c>
      <c r="F163" s="95">
        <v>27882.4625</v>
      </c>
      <c r="G163" s="95">
        <v>33458.955</v>
      </c>
      <c r="H163" s="95">
        <v>39035.4475</v>
      </c>
      <c r="I163" s="95">
        <v>44611.94</v>
      </c>
      <c r="J163" s="95">
        <v>50188.4325</v>
      </c>
      <c r="K163" s="95">
        <v>55764.925</v>
      </c>
      <c r="L163" s="95">
        <v>61341.4175</v>
      </c>
      <c r="M163" s="95">
        <v>66917.91</v>
      </c>
      <c r="N163" s="72"/>
      <c r="P163" s="72"/>
      <c r="Q163" s="72"/>
    </row>
    <row r="164" spans="1:17" ht="15">
      <c r="A164" s="76" t="s">
        <v>44</v>
      </c>
      <c r="B164" s="95" t="s">
        <v>45</v>
      </c>
      <c r="C164" s="95" t="s">
        <v>45</v>
      </c>
      <c r="D164" s="95" t="s">
        <v>45</v>
      </c>
      <c r="E164" s="95" t="s">
        <v>45</v>
      </c>
      <c r="F164" s="95" t="s">
        <v>45</v>
      </c>
      <c r="G164" s="95" t="s">
        <v>45</v>
      </c>
      <c r="H164" s="95" t="s">
        <v>45</v>
      </c>
      <c r="I164" s="95" t="s">
        <v>45</v>
      </c>
      <c r="J164" s="95" t="s">
        <v>45</v>
      </c>
      <c r="K164" s="95" t="s">
        <v>45</v>
      </c>
      <c r="L164" s="95" t="s">
        <v>45</v>
      </c>
      <c r="M164" s="95" t="s">
        <v>45</v>
      </c>
      <c r="N164" s="72"/>
      <c r="P164" s="72"/>
      <c r="Q164" s="72"/>
    </row>
    <row r="165" spans="1:17" ht="15">
      <c r="A165" s="76" t="s">
        <v>46</v>
      </c>
      <c r="B165" s="95">
        <v>2230.6</v>
      </c>
      <c r="C165" s="95">
        <v>4461.19</v>
      </c>
      <c r="D165" s="95">
        <v>6691.79</v>
      </c>
      <c r="E165" s="95">
        <v>8922.39</v>
      </c>
      <c r="F165" s="95">
        <v>11152.99</v>
      </c>
      <c r="G165" s="95">
        <v>13383.58</v>
      </c>
      <c r="H165" s="95">
        <v>15614.18</v>
      </c>
      <c r="I165" s="95">
        <v>17844.78</v>
      </c>
      <c r="J165" s="95">
        <v>20075.37</v>
      </c>
      <c r="K165" s="95">
        <v>22305.97</v>
      </c>
      <c r="L165" s="95">
        <v>24536.57</v>
      </c>
      <c r="M165" s="95">
        <v>26767.164000000004</v>
      </c>
      <c r="N165" s="72"/>
      <c r="P165" s="72"/>
      <c r="Q165" s="72"/>
    </row>
    <row r="166" spans="1:17" ht="15">
      <c r="A166" s="76" t="s">
        <v>47</v>
      </c>
      <c r="B166" s="95" t="s">
        <v>45</v>
      </c>
      <c r="C166" s="95" t="s">
        <v>45</v>
      </c>
      <c r="D166" s="95" t="s">
        <v>45</v>
      </c>
      <c r="E166" s="95" t="s">
        <v>45</v>
      </c>
      <c r="F166" s="95" t="s">
        <v>45</v>
      </c>
      <c r="G166" s="95" t="s">
        <v>45</v>
      </c>
      <c r="H166" s="95" t="s">
        <v>45</v>
      </c>
      <c r="I166" s="95" t="s">
        <v>45</v>
      </c>
      <c r="J166" s="95" t="s">
        <v>45</v>
      </c>
      <c r="K166" s="95" t="s">
        <v>45</v>
      </c>
      <c r="L166" s="95" t="s">
        <v>45</v>
      </c>
      <c r="M166" s="95" t="s">
        <v>45</v>
      </c>
      <c r="N166" s="72"/>
      <c r="P166" s="72"/>
      <c r="Q166" s="72"/>
    </row>
    <row r="167" spans="1:17" ht="15">
      <c r="A167" s="76" t="s">
        <v>48</v>
      </c>
      <c r="B167" s="95" t="s">
        <v>49</v>
      </c>
      <c r="C167" s="95" t="s">
        <v>49</v>
      </c>
      <c r="D167" s="95" t="s">
        <v>49</v>
      </c>
      <c r="E167" s="95" t="s">
        <v>49</v>
      </c>
      <c r="F167" s="95" t="s">
        <v>49</v>
      </c>
      <c r="G167" s="95" t="s">
        <v>49</v>
      </c>
      <c r="H167" s="95" t="s">
        <v>49</v>
      </c>
      <c r="I167" s="95" t="s">
        <v>49</v>
      </c>
      <c r="J167" s="95" t="s">
        <v>49</v>
      </c>
      <c r="K167" s="95" t="s">
        <v>49</v>
      </c>
      <c r="L167" s="95" t="s">
        <v>49</v>
      </c>
      <c r="M167" s="95" t="s">
        <v>49</v>
      </c>
      <c r="N167" s="72"/>
      <c r="P167" s="72"/>
      <c r="Q167" s="72"/>
    </row>
    <row r="168" spans="1:17" ht="15">
      <c r="A168" s="76" t="s">
        <v>50</v>
      </c>
      <c r="B168" s="95" t="s">
        <v>49</v>
      </c>
      <c r="C168" s="95" t="s">
        <v>49</v>
      </c>
      <c r="D168" s="95" t="s">
        <v>49</v>
      </c>
      <c r="E168" s="95" t="s">
        <v>49</v>
      </c>
      <c r="F168" s="95" t="s">
        <v>49</v>
      </c>
      <c r="G168" s="95" t="s">
        <v>49</v>
      </c>
      <c r="H168" s="95" t="s">
        <v>49</v>
      </c>
      <c r="I168" s="95" t="s">
        <v>49</v>
      </c>
      <c r="J168" s="95" t="s">
        <v>49</v>
      </c>
      <c r="K168" s="95" t="s">
        <v>49</v>
      </c>
      <c r="L168" s="95" t="s">
        <v>49</v>
      </c>
      <c r="M168" s="95" t="s">
        <v>49</v>
      </c>
      <c r="N168" s="72"/>
      <c r="P168" s="72"/>
      <c r="Q168" s="72"/>
    </row>
    <row r="169" spans="1:17" ht="15.75" thickBot="1">
      <c r="A169" s="77" t="s">
        <v>51</v>
      </c>
      <c r="B169" s="95" t="s">
        <v>49</v>
      </c>
      <c r="C169" s="95" t="s">
        <v>49</v>
      </c>
      <c r="D169" s="95" t="s">
        <v>49</v>
      </c>
      <c r="E169" s="95" t="s">
        <v>49</v>
      </c>
      <c r="F169" s="95" t="s">
        <v>49</v>
      </c>
      <c r="G169" s="95" t="s">
        <v>49</v>
      </c>
      <c r="H169" s="95" t="s">
        <v>49</v>
      </c>
      <c r="I169" s="95" t="s">
        <v>49</v>
      </c>
      <c r="J169" s="95" t="s">
        <v>49</v>
      </c>
      <c r="K169" s="95" t="s">
        <v>49</v>
      </c>
      <c r="L169" s="95" t="s">
        <v>49</v>
      </c>
      <c r="M169" s="95" t="s">
        <v>49</v>
      </c>
      <c r="N169" s="72"/>
      <c r="P169" s="72"/>
      <c r="Q169" s="72"/>
    </row>
    <row r="170" spans="1:17" ht="12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P170" s="72"/>
      <c r="Q170" s="72"/>
    </row>
    <row r="171" spans="1:17" ht="12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P171" s="72"/>
      <c r="Q171" s="72"/>
    </row>
    <row r="172" spans="1:17" ht="12.75" thickBot="1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P172" s="72"/>
      <c r="Q172" s="72"/>
    </row>
    <row r="173" spans="1:17" ht="12">
      <c r="A173" s="72"/>
      <c r="B173" s="72"/>
      <c r="C173" s="72"/>
      <c r="D173" s="262" t="s">
        <v>88</v>
      </c>
      <c r="E173" s="263"/>
      <c r="F173" s="263"/>
      <c r="G173" s="263"/>
      <c r="H173" s="264"/>
      <c r="I173" s="72"/>
      <c r="J173" s="72"/>
      <c r="K173" s="72"/>
      <c r="L173" s="72"/>
      <c r="M173" s="72"/>
      <c r="N173" s="72"/>
      <c r="P173" s="72"/>
      <c r="Q173" s="72"/>
    </row>
    <row r="174" spans="1:17" ht="12">
      <c r="A174" s="72"/>
      <c r="B174" s="72"/>
      <c r="C174" s="72"/>
      <c r="D174" s="78" t="s">
        <v>52</v>
      </c>
      <c r="E174" s="79" t="s">
        <v>53</v>
      </c>
      <c r="F174" s="79" t="s">
        <v>54</v>
      </c>
      <c r="G174" s="79" t="s">
        <v>55</v>
      </c>
      <c r="H174" s="80" t="s">
        <v>56</v>
      </c>
      <c r="I174" s="72"/>
      <c r="J174" s="72"/>
      <c r="K174" s="72"/>
      <c r="L174" s="72"/>
      <c r="M174" s="72"/>
      <c r="N174" s="72"/>
      <c r="P174" s="72"/>
      <c r="Q174" s="72"/>
    </row>
    <row r="175" spans="1:17" ht="15">
      <c r="A175" s="72"/>
      <c r="B175" s="72"/>
      <c r="C175" s="72"/>
      <c r="D175" s="94">
        <v>0</v>
      </c>
      <c r="E175" s="94">
        <v>25754</v>
      </c>
      <c r="F175" s="94">
        <v>0</v>
      </c>
      <c r="G175" s="94">
        <v>5</v>
      </c>
      <c r="H175" s="94">
        <v>0</v>
      </c>
      <c r="I175" s="72" t="s">
        <v>143</v>
      </c>
      <c r="J175" s="72"/>
      <c r="K175" s="72"/>
      <c r="L175" s="72"/>
      <c r="M175" s="72"/>
      <c r="N175" s="72"/>
      <c r="P175" s="72"/>
      <c r="Q175" s="72"/>
    </row>
    <row r="176" spans="1:17" ht="15">
      <c r="A176" s="72"/>
      <c r="B176" s="72"/>
      <c r="C176" s="72"/>
      <c r="D176" s="94">
        <f>+E175</f>
        <v>25754</v>
      </c>
      <c r="E176" s="94">
        <f>+D176+E175</f>
        <v>51508</v>
      </c>
      <c r="F176" s="94">
        <f>+ROUND(E175*G175/100,0)</f>
        <v>1288</v>
      </c>
      <c r="G176" s="94">
        <v>9</v>
      </c>
      <c r="H176" s="94">
        <f>+E175</f>
        <v>25754</v>
      </c>
      <c r="I176" s="72"/>
      <c r="J176" s="72"/>
      <c r="K176" s="72"/>
      <c r="L176" s="72"/>
      <c r="M176" s="72"/>
      <c r="N176" s="72"/>
      <c r="P176" s="72"/>
      <c r="Q176" s="72"/>
    </row>
    <row r="177" spans="1:17" ht="15">
      <c r="A177" s="72"/>
      <c r="B177" s="72"/>
      <c r="C177" s="72"/>
      <c r="D177" s="94">
        <f aca="true" t="shared" si="44" ref="D177:D183">+E176</f>
        <v>51508</v>
      </c>
      <c r="E177" s="94">
        <f>+D177+E175</f>
        <v>77262</v>
      </c>
      <c r="F177" s="94">
        <f>+ROUND(E175*G176/100,0)+F176</f>
        <v>3606</v>
      </c>
      <c r="G177" s="94">
        <v>12</v>
      </c>
      <c r="H177" s="94">
        <f aca="true" t="shared" si="45" ref="H177:H183">+E176</f>
        <v>51508</v>
      </c>
      <c r="I177" s="72"/>
      <c r="J177" s="72"/>
      <c r="K177" s="72"/>
      <c r="L177" s="72"/>
      <c r="M177" s="72"/>
      <c r="N177" s="72"/>
      <c r="P177" s="72"/>
      <c r="Q177" s="72"/>
    </row>
    <row r="178" spans="1:17" ht="15">
      <c r="A178" s="72"/>
      <c r="B178" s="72"/>
      <c r="C178" s="72"/>
      <c r="D178" s="94">
        <f t="shared" si="44"/>
        <v>77262</v>
      </c>
      <c r="E178" s="94">
        <f>+D178+E175</f>
        <v>103016</v>
      </c>
      <c r="F178" s="94">
        <f>+ROUND(E175*G177/100,0)+F177</f>
        <v>6696</v>
      </c>
      <c r="G178" s="94">
        <v>15</v>
      </c>
      <c r="H178" s="94">
        <f t="shared" si="45"/>
        <v>77262</v>
      </c>
      <c r="I178" s="72"/>
      <c r="J178" s="72"/>
      <c r="K178" s="72"/>
      <c r="L178" s="72"/>
      <c r="M178" s="72"/>
      <c r="N178" s="72"/>
      <c r="P178" s="72"/>
      <c r="Q178" s="72"/>
    </row>
    <row r="179" spans="1:17" ht="15">
      <c r="A179" s="72"/>
      <c r="B179" s="72"/>
      <c r="C179" s="72"/>
      <c r="D179" s="94">
        <f t="shared" si="44"/>
        <v>103016</v>
      </c>
      <c r="E179" s="94">
        <f>+D179+E176</f>
        <v>154524</v>
      </c>
      <c r="F179" s="94">
        <f>+ROUND(E175*G178/100,0)+F178</f>
        <v>10559</v>
      </c>
      <c r="G179" s="94">
        <v>19</v>
      </c>
      <c r="H179" s="94">
        <f t="shared" si="45"/>
        <v>103016</v>
      </c>
      <c r="I179" s="72"/>
      <c r="J179" s="72"/>
      <c r="K179" s="72"/>
      <c r="L179" s="72"/>
      <c r="M179" s="72"/>
      <c r="N179" s="72"/>
      <c r="P179" s="72"/>
      <c r="Q179" s="72"/>
    </row>
    <row r="180" spans="1:17" ht="15">
      <c r="A180" s="72"/>
      <c r="B180" s="72"/>
      <c r="C180" s="72"/>
      <c r="D180" s="94">
        <f t="shared" si="44"/>
        <v>154524</v>
      </c>
      <c r="E180" s="94">
        <f>+D180+E176</f>
        <v>206032</v>
      </c>
      <c r="F180" s="94">
        <f>+ROUND(E176*G179/100,0)+F179</f>
        <v>20346</v>
      </c>
      <c r="G180" s="94">
        <v>23</v>
      </c>
      <c r="H180" s="94">
        <f t="shared" si="45"/>
        <v>154524</v>
      </c>
      <c r="I180" s="72"/>
      <c r="J180" s="72"/>
      <c r="K180" s="72"/>
      <c r="L180" s="72"/>
      <c r="M180" s="72"/>
      <c r="N180" s="72"/>
      <c r="P180" s="72"/>
      <c r="Q180" s="72"/>
    </row>
    <row r="181" spans="1:17" ht="15">
      <c r="A181" s="72"/>
      <c r="B181" s="72"/>
      <c r="C181" s="72"/>
      <c r="D181" s="94">
        <f t="shared" si="44"/>
        <v>206032</v>
      </c>
      <c r="E181" s="94">
        <f>+D181+E178</f>
        <v>309048</v>
      </c>
      <c r="F181" s="94">
        <f>+ROUND(E176*G180/100,0)+F180</f>
        <v>32193</v>
      </c>
      <c r="G181" s="94">
        <v>27</v>
      </c>
      <c r="H181" s="94">
        <f t="shared" si="45"/>
        <v>206032</v>
      </c>
      <c r="I181" s="72"/>
      <c r="J181" s="72"/>
      <c r="K181" s="72"/>
      <c r="L181" s="72"/>
      <c r="M181" s="72"/>
      <c r="N181" s="72"/>
      <c r="P181" s="72"/>
      <c r="Q181" s="72"/>
    </row>
    <row r="182" spans="1:17" ht="15">
      <c r="A182" s="72"/>
      <c r="B182" s="72"/>
      <c r="C182" s="72"/>
      <c r="D182" s="94">
        <f t="shared" si="44"/>
        <v>309048</v>
      </c>
      <c r="E182" s="94">
        <f>+D182+E178</f>
        <v>412064</v>
      </c>
      <c r="F182" s="94">
        <f>+ROUND(E178*G181/100,0)+F181</f>
        <v>60007</v>
      </c>
      <c r="G182" s="94">
        <v>31</v>
      </c>
      <c r="H182" s="94">
        <f t="shared" si="45"/>
        <v>309048</v>
      </c>
      <c r="I182" s="72"/>
      <c r="J182" s="72"/>
      <c r="K182" s="72"/>
      <c r="L182" s="72"/>
      <c r="M182" s="72"/>
      <c r="N182" s="72"/>
      <c r="P182" s="72"/>
      <c r="Q182" s="72"/>
    </row>
    <row r="183" spans="1:17" ht="15">
      <c r="A183" s="72"/>
      <c r="B183" s="72"/>
      <c r="C183" s="72"/>
      <c r="D183" s="94">
        <f t="shared" si="44"/>
        <v>412064</v>
      </c>
      <c r="E183" s="94">
        <v>999999999</v>
      </c>
      <c r="F183" s="94">
        <f>+ROUND(E178*G182/100,0)+F182</f>
        <v>91942</v>
      </c>
      <c r="G183" s="94">
        <v>35</v>
      </c>
      <c r="H183" s="94">
        <f t="shared" si="45"/>
        <v>412064</v>
      </c>
      <c r="I183" s="72"/>
      <c r="J183" s="72"/>
      <c r="K183" s="72"/>
      <c r="L183" s="72"/>
      <c r="M183" s="72"/>
      <c r="N183" s="72"/>
      <c r="P183" s="72"/>
      <c r="Q183" s="72"/>
    </row>
    <row r="184" spans="1:17" ht="12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P184" s="72"/>
      <c r="Q184" s="72"/>
    </row>
    <row r="185" spans="1:17" ht="12.75" thickBot="1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P185" s="72"/>
      <c r="Q185" s="72"/>
    </row>
    <row r="186" spans="1:17" ht="12">
      <c r="A186" s="83" t="s">
        <v>87</v>
      </c>
      <c r="B186" s="84">
        <v>12</v>
      </c>
      <c r="C186" s="84">
        <v>11</v>
      </c>
      <c r="D186" s="84">
        <v>10</v>
      </c>
      <c r="E186" s="84">
        <v>9</v>
      </c>
      <c r="F186" s="84">
        <v>8</v>
      </c>
      <c r="G186" s="84">
        <v>7</v>
      </c>
      <c r="H186" s="84">
        <v>6</v>
      </c>
      <c r="I186" s="84">
        <v>5</v>
      </c>
      <c r="J186" s="84">
        <v>4</v>
      </c>
      <c r="K186" s="84">
        <v>3</v>
      </c>
      <c r="L186" s="84">
        <v>2</v>
      </c>
      <c r="M186" s="84">
        <v>1</v>
      </c>
      <c r="N186" s="85"/>
      <c r="P186" s="72"/>
      <c r="Q186" s="72"/>
    </row>
    <row r="187" spans="1:17" ht="12.75" thickBot="1">
      <c r="A187" s="86"/>
      <c r="B187" s="87">
        <f>12-B186</f>
        <v>0</v>
      </c>
      <c r="C187" s="87">
        <f aca="true" t="shared" si="46" ref="C187:M187">12-C186</f>
        <v>1</v>
      </c>
      <c r="D187" s="87">
        <f t="shared" si="46"/>
        <v>2</v>
      </c>
      <c r="E187" s="87">
        <f t="shared" si="46"/>
        <v>3</v>
      </c>
      <c r="F187" s="87">
        <f t="shared" si="46"/>
        <v>4</v>
      </c>
      <c r="G187" s="87">
        <f t="shared" si="46"/>
        <v>5</v>
      </c>
      <c r="H187" s="87">
        <f t="shared" si="46"/>
        <v>6</v>
      </c>
      <c r="I187" s="87">
        <f t="shared" si="46"/>
        <v>7</v>
      </c>
      <c r="J187" s="87">
        <f t="shared" si="46"/>
        <v>8</v>
      </c>
      <c r="K187" s="87">
        <f t="shared" si="46"/>
        <v>9</v>
      </c>
      <c r="L187" s="87">
        <f t="shared" si="46"/>
        <v>10</v>
      </c>
      <c r="M187" s="87">
        <f t="shared" si="46"/>
        <v>11</v>
      </c>
      <c r="N187" s="88"/>
      <c r="P187" s="72"/>
      <c r="Q187" s="72"/>
    </row>
    <row r="188" spans="1:17" ht="12">
      <c r="A188" s="74" t="s">
        <v>95</v>
      </c>
      <c r="B188" s="74" t="str">
        <f>+B5</f>
        <v>Enero</v>
      </c>
      <c r="C188" s="74" t="str">
        <f aca="true" t="shared" si="47" ref="C188:M188">+C5</f>
        <v>Febrero</v>
      </c>
      <c r="D188" s="74" t="str">
        <f t="shared" si="47"/>
        <v>Marzo</v>
      </c>
      <c r="E188" s="74" t="str">
        <f t="shared" si="47"/>
        <v>Abril</v>
      </c>
      <c r="F188" s="74" t="str">
        <f t="shared" si="47"/>
        <v>Mayo</v>
      </c>
      <c r="G188" s="74" t="str">
        <f t="shared" si="47"/>
        <v>Junio</v>
      </c>
      <c r="H188" s="74" t="str">
        <f t="shared" si="47"/>
        <v>Julio</v>
      </c>
      <c r="I188" s="74" t="str">
        <f t="shared" si="47"/>
        <v>Agosto</v>
      </c>
      <c r="J188" s="74" t="str">
        <f t="shared" si="47"/>
        <v>Septiembre</v>
      </c>
      <c r="K188" s="74" t="str">
        <f t="shared" si="47"/>
        <v>Octubre</v>
      </c>
      <c r="L188" s="74" t="str">
        <f t="shared" si="47"/>
        <v>Noviembre</v>
      </c>
      <c r="M188" s="74" t="str">
        <f t="shared" si="47"/>
        <v>Diciembre</v>
      </c>
      <c r="N188" s="74" t="s">
        <v>61</v>
      </c>
      <c r="P188" s="72"/>
      <c r="Q188" s="72"/>
    </row>
    <row r="189" spans="1:17" ht="12">
      <c r="A189" s="81" t="s">
        <v>23</v>
      </c>
      <c r="B189" s="81">
        <f>+ROUND(IF($E$1&gt;B$187,(B15)/B$186*($E$1-B$187),0),2)</f>
        <v>0</v>
      </c>
      <c r="C189" s="81">
        <f>+ROUND(IF($E$1&gt;C$187,(C15)/C$186*($E$1-C$187),0),2)</f>
        <v>0</v>
      </c>
      <c r="D189" s="81">
        <f>+ROUND(IF($E$1&gt;D$187,(D15)/D$186*($E$1-D$187),0),2)</f>
        <v>0</v>
      </c>
      <c r="E189" s="81">
        <f aca="true" t="shared" si="48" ref="E189:M189">+ROUND(IF($E$1&gt;E$187,(E15)/E$186*($E$1-E$187),0),2)</f>
        <v>0</v>
      </c>
      <c r="F189" s="81">
        <f t="shared" si="48"/>
        <v>0</v>
      </c>
      <c r="G189" s="81">
        <f t="shared" si="48"/>
        <v>0</v>
      </c>
      <c r="H189" s="81">
        <f t="shared" si="48"/>
        <v>0</v>
      </c>
      <c r="I189" s="81">
        <f t="shared" si="48"/>
        <v>0</v>
      </c>
      <c r="J189" s="81">
        <f t="shared" si="48"/>
        <v>0</v>
      </c>
      <c r="K189" s="81">
        <f t="shared" si="48"/>
        <v>0</v>
      </c>
      <c r="L189" s="81">
        <f t="shared" si="48"/>
        <v>0</v>
      </c>
      <c r="M189" s="81">
        <f t="shared" si="48"/>
        <v>0</v>
      </c>
      <c r="N189" s="81">
        <f>+SUM(B189:M189)</f>
        <v>0</v>
      </c>
      <c r="P189" s="72"/>
      <c r="Q189" s="72"/>
    </row>
    <row r="190" spans="1:17" ht="12.75" thickBot="1">
      <c r="A190" s="82" t="s">
        <v>24</v>
      </c>
      <c r="B190" s="82">
        <f aca="true" t="shared" si="49" ref="B190:M190">+ROUND(IF($E$1&gt;B$187,B16/B$186*($E$1-B$187),0),2)</f>
        <v>0</v>
      </c>
      <c r="C190" s="82">
        <f t="shared" si="49"/>
        <v>0</v>
      </c>
      <c r="D190" s="82">
        <f t="shared" si="49"/>
        <v>0</v>
      </c>
      <c r="E190" s="82">
        <f t="shared" si="49"/>
        <v>0</v>
      </c>
      <c r="F190" s="82">
        <f t="shared" si="49"/>
        <v>0</v>
      </c>
      <c r="G190" s="82">
        <f t="shared" si="49"/>
        <v>0</v>
      </c>
      <c r="H190" s="82">
        <f t="shared" si="49"/>
        <v>0</v>
      </c>
      <c r="I190" s="82">
        <f t="shared" si="49"/>
        <v>0</v>
      </c>
      <c r="J190" s="82">
        <f t="shared" si="49"/>
        <v>0</v>
      </c>
      <c r="K190" s="82">
        <f t="shared" si="49"/>
        <v>0</v>
      </c>
      <c r="L190" s="82">
        <f t="shared" si="49"/>
        <v>0</v>
      </c>
      <c r="M190" s="82">
        <f t="shared" si="49"/>
        <v>0</v>
      </c>
      <c r="N190" s="82">
        <f>+SUM(B190:M190)</f>
        <v>0</v>
      </c>
      <c r="P190" s="72"/>
      <c r="Q190" s="72"/>
    </row>
    <row r="191" spans="1:17" ht="12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</row>
    <row r="192" spans="1:17" ht="12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</row>
  </sheetData>
  <sheetProtection/>
  <mergeCells count="59">
    <mergeCell ref="B53:F53"/>
    <mergeCell ref="I53:K53"/>
    <mergeCell ref="I54:K54"/>
    <mergeCell ref="I55:K55"/>
    <mergeCell ref="I56:K56"/>
    <mergeCell ref="I57:K57"/>
    <mergeCell ref="I58:K58"/>
    <mergeCell ref="I59:K59"/>
    <mergeCell ref="I60:K60"/>
    <mergeCell ref="I61:K61"/>
    <mergeCell ref="I62:K62"/>
    <mergeCell ref="I63:K63"/>
    <mergeCell ref="I64:K64"/>
    <mergeCell ref="I65:K65"/>
    <mergeCell ref="I66:K66"/>
    <mergeCell ref="I67:K67"/>
    <mergeCell ref="I68:K68"/>
    <mergeCell ref="I69:K69"/>
    <mergeCell ref="I70:K70"/>
    <mergeCell ref="I71:K71"/>
    <mergeCell ref="I72:K72"/>
    <mergeCell ref="I73:K73"/>
    <mergeCell ref="I75:K75"/>
    <mergeCell ref="I76:K76"/>
    <mergeCell ref="I77:K77"/>
    <mergeCell ref="I78:K78"/>
    <mergeCell ref="I79:K79"/>
    <mergeCell ref="I80:K80"/>
    <mergeCell ref="I82:K82"/>
    <mergeCell ref="I84:M84"/>
    <mergeCell ref="I85:M85"/>
    <mergeCell ref="I86:M86"/>
    <mergeCell ref="I87:M87"/>
    <mergeCell ref="I88:M88"/>
    <mergeCell ref="I89:M89"/>
    <mergeCell ref="I90:M90"/>
    <mergeCell ref="I91:M91"/>
    <mergeCell ref="I92:M92"/>
    <mergeCell ref="I94:M94"/>
    <mergeCell ref="I96:K96"/>
    <mergeCell ref="I97:M97"/>
    <mergeCell ref="I98:M98"/>
    <mergeCell ref="I114:M114"/>
    <mergeCell ref="I99:M99"/>
    <mergeCell ref="I100:M100"/>
    <mergeCell ref="I102:M102"/>
    <mergeCell ref="I104:M104"/>
    <mergeCell ref="I105:M105"/>
    <mergeCell ref="I106:M106"/>
    <mergeCell ref="I116:K116"/>
    <mergeCell ref="I117:K117"/>
    <mergeCell ref="I118:K118"/>
    <mergeCell ref="A152:M152"/>
    <mergeCell ref="D173:H173"/>
    <mergeCell ref="I108:M108"/>
    <mergeCell ref="A110:B110"/>
    <mergeCell ref="I110:M110"/>
    <mergeCell ref="I111:M111"/>
    <mergeCell ref="I112:M112"/>
  </mergeCells>
  <dataValidations count="1">
    <dataValidation type="list" allowBlank="1" showInputMessage="1" showErrorMessage="1" sqref="E1">
      <formula1>tabla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1"/>
  <sheetViews>
    <sheetView zoomScalePageLayoutView="0" workbookViewId="0" topLeftCell="A163">
      <selection activeCell="E174" sqref="E174"/>
    </sheetView>
  </sheetViews>
  <sheetFormatPr defaultColWidth="0" defaultRowHeight="15"/>
  <cols>
    <col min="1" max="1" width="28.7109375" style="2" customWidth="1"/>
    <col min="2" max="8" width="10.7109375" style="2" bestFit="1" customWidth="1"/>
    <col min="9" max="9" width="13.57421875" style="2" bestFit="1" customWidth="1"/>
    <col min="10" max="13" width="10.7109375" style="2" bestFit="1" customWidth="1"/>
    <col min="14" max="14" width="9.00390625" style="2" bestFit="1" customWidth="1"/>
    <col min="15" max="15" width="9.7109375" style="2" bestFit="1" customWidth="1"/>
    <col min="16" max="16" width="8.7109375" style="2" customWidth="1"/>
    <col min="17" max="17" width="7.7109375" style="2" customWidth="1"/>
    <col min="18" max="16384" width="11.421875" style="5" hidden="1" customWidth="1"/>
  </cols>
  <sheetData>
    <row r="1" spans="1:5" ht="12.75" thickBot="1">
      <c r="A1" s="1" t="s">
        <v>91</v>
      </c>
      <c r="B1" s="107" t="s">
        <v>92</v>
      </c>
      <c r="D1" s="3" t="s">
        <v>33</v>
      </c>
      <c r="E1" s="4">
        <v>12</v>
      </c>
    </row>
    <row r="2" spans="1:2" ht="13.5" thickBot="1">
      <c r="A2" s="98" t="s">
        <v>127</v>
      </c>
      <c r="B2" s="99"/>
    </row>
    <row r="3" spans="2:13" ht="12.75" thickBot="1">
      <c r="B3" s="2">
        <v>1</v>
      </c>
      <c r="D3" s="2">
        <v>3</v>
      </c>
      <c r="E3" s="2">
        <v>3</v>
      </c>
      <c r="F3" s="2">
        <v>2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2</v>
      </c>
    </row>
    <row r="4" spans="1:14" ht="12.75" thickBot="1">
      <c r="A4" s="7" t="s">
        <v>89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12</v>
      </c>
    </row>
    <row r="5" spans="1:15" ht="12.75" thickBot="1">
      <c r="A5" s="7" t="s">
        <v>90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120</v>
      </c>
      <c r="O5" s="7" t="s">
        <v>14</v>
      </c>
    </row>
    <row r="6" spans="1:15" ht="12">
      <c r="A6" s="8" t="s">
        <v>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>
        <f aca="true" t="shared" si="0" ref="O6:O16">+SUM(B6:M6)</f>
        <v>0</v>
      </c>
    </row>
    <row r="7" spans="1:15" ht="12">
      <c r="A7" s="11" t="s">
        <v>98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>
        <f>+SUM(B7:N7)</f>
        <v>0</v>
      </c>
    </row>
    <row r="8" spans="1:15" ht="12">
      <c r="A8" s="11" t="s">
        <v>112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>
        <f t="shared" si="0"/>
        <v>0</v>
      </c>
    </row>
    <row r="9" spans="1:15" ht="12">
      <c r="A9" s="11" t="s">
        <v>119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>
        <f t="shared" si="0"/>
        <v>0</v>
      </c>
    </row>
    <row r="10" spans="1:15" s="2" customFormat="1" ht="12">
      <c r="A10" s="11" t="s">
        <v>113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>
        <f t="shared" si="0"/>
        <v>0</v>
      </c>
    </row>
    <row r="11" spans="1:17" s="2" customFormat="1" ht="12">
      <c r="A11" s="11" t="s">
        <v>125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>
        <f t="shared" si="0"/>
        <v>0</v>
      </c>
      <c r="P11" s="6"/>
      <c r="Q11" s="6"/>
    </row>
    <row r="12" spans="1:17" s="2" customFormat="1" ht="12">
      <c r="A12" s="11" t="s">
        <v>25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>
        <f t="shared" si="0"/>
        <v>0</v>
      </c>
      <c r="Q12" s="6"/>
    </row>
    <row r="13" spans="1:17" s="2" customFormat="1" ht="12">
      <c r="A13" s="11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>
        <f t="shared" si="0"/>
        <v>0</v>
      </c>
      <c r="Q13" s="6"/>
    </row>
    <row r="14" spans="1:15" s="2" customFormat="1" ht="12">
      <c r="A14" s="11" t="s">
        <v>117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>
        <f t="shared" si="0"/>
        <v>0</v>
      </c>
    </row>
    <row r="15" spans="1:17" s="2" customFormat="1" ht="12">
      <c r="A15" s="11" t="s">
        <v>23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>
        <f t="shared" si="0"/>
        <v>0</v>
      </c>
      <c r="Q15" s="6"/>
    </row>
    <row r="16" spans="1:15" s="2" customFormat="1" ht="12">
      <c r="A16" s="11" t="s">
        <v>24</v>
      </c>
      <c r="B16" s="12">
        <f aca="true" t="shared" si="1" ref="B16:M16">+ROUND(B15/12,2)</f>
        <v>0</v>
      </c>
      <c r="C16" s="12">
        <f t="shared" si="1"/>
        <v>0</v>
      </c>
      <c r="D16" s="12">
        <f t="shared" si="1"/>
        <v>0</v>
      </c>
      <c r="E16" s="12">
        <f t="shared" si="1"/>
        <v>0</v>
      </c>
      <c r="F16" s="12">
        <f t="shared" si="1"/>
        <v>0</v>
      </c>
      <c r="G16" s="12">
        <f t="shared" si="1"/>
        <v>0</v>
      </c>
      <c r="H16" s="12">
        <f t="shared" si="1"/>
        <v>0</v>
      </c>
      <c r="I16" s="12">
        <f t="shared" si="1"/>
        <v>0</v>
      </c>
      <c r="J16" s="12">
        <f t="shared" si="1"/>
        <v>0</v>
      </c>
      <c r="K16" s="12">
        <f t="shared" si="1"/>
        <v>0</v>
      </c>
      <c r="L16" s="12">
        <f t="shared" si="1"/>
        <v>0</v>
      </c>
      <c r="M16" s="12">
        <f t="shared" si="1"/>
        <v>0</v>
      </c>
      <c r="N16" s="12"/>
      <c r="O16" s="13">
        <f t="shared" si="0"/>
        <v>0</v>
      </c>
    </row>
    <row r="17" spans="1:15" s="2" customFormat="1" ht="12">
      <c r="A17" s="11" t="s">
        <v>123</v>
      </c>
      <c r="B17" s="14"/>
      <c r="C17" s="14"/>
      <c r="D17" s="14"/>
      <c r="E17" s="14"/>
      <c r="F17" s="14"/>
      <c r="G17" s="14">
        <f>+SUM(E6:E13)/2</f>
        <v>0</v>
      </c>
      <c r="H17" s="14"/>
      <c r="I17" s="14"/>
      <c r="J17" s="14"/>
      <c r="K17" s="14"/>
      <c r="L17" s="14"/>
      <c r="M17" s="14">
        <f>+SUM(M6:M13)/2</f>
        <v>0</v>
      </c>
      <c r="N17" s="14"/>
      <c r="O17" s="13">
        <f>+IF(E1&gt;5,SUM(B17:N17),0)</f>
        <v>0</v>
      </c>
    </row>
    <row r="18" spans="1:15" s="2" customFormat="1" ht="12">
      <c r="A18" s="11" t="s">
        <v>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>
        <f aca="true" t="shared" si="2" ref="O18:O23">+SUM(B18:M18)</f>
        <v>0</v>
      </c>
    </row>
    <row r="19" spans="1:15" s="2" customFormat="1" ht="12">
      <c r="A19" s="11">
        <f>+""</f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>
        <f t="shared" si="2"/>
        <v>0</v>
      </c>
    </row>
    <row r="20" spans="1:15" s="2" customFormat="1" ht="12">
      <c r="A20" s="11" t="s">
        <v>31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>
        <f t="shared" si="2"/>
        <v>0</v>
      </c>
    </row>
    <row r="21" spans="1:15" s="2" customFormat="1" ht="12">
      <c r="A21" s="11" t="s">
        <v>28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>
        <f t="shared" si="2"/>
        <v>0</v>
      </c>
    </row>
    <row r="22" spans="1:15" s="2" customFormat="1" ht="12">
      <c r="A22" s="11" t="s">
        <v>32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>
        <f t="shared" si="2"/>
        <v>0</v>
      </c>
    </row>
    <row r="23" spans="1:15" s="2" customFormat="1" ht="1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>
        <f t="shared" si="2"/>
        <v>0</v>
      </c>
    </row>
    <row r="24" spans="1:15" s="2" customFormat="1" ht="12.75" thickBot="1">
      <c r="A24" s="15" t="s">
        <v>108</v>
      </c>
      <c r="B24" s="16">
        <f>+ROUND((SUM(B6:B13)-B11)/12,2)</f>
        <v>0</v>
      </c>
      <c r="C24" s="16">
        <f aca="true" t="shared" si="3" ref="C24:L24">+ROUND((SUM(C6:C13)-C11)/12,2)</f>
        <v>0</v>
      </c>
      <c r="D24" s="16">
        <f t="shared" si="3"/>
        <v>0</v>
      </c>
      <c r="E24" s="16">
        <f t="shared" si="3"/>
        <v>0</v>
      </c>
      <c r="F24" s="16">
        <f t="shared" si="3"/>
        <v>0</v>
      </c>
      <c r="G24" s="16">
        <f>+IF($E$1&gt;5,-SUM(B24:F24),0)</f>
        <v>0</v>
      </c>
      <c r="H24" s="16">
        <f>+ROUND((SUM(H6:H13)-H11)/12,2)</f>
        <v>0</v>
      </c>
      <c r="I24" s="16">
        <f>+ROUND((SUM(I6:I13)-I11)/12,2)</f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>+IF($E$1=12,-SUM(B24:L24),0)</f>
        <v>0</v>
      </c>
      <c r="N24" s="16">
        <v>0</v>
      </c>
      <c r="O24" s="17">
        <f>+SUM(B24:N24)</f>
        <v>0</v>
      </c>
    </row>
    <row r="25" spans="1:15" s="2" customFormat="1" ht="12.75" thickBot="1">
      <c r="A25" s="18" t="s">
        <v>116</v>
      </c>
      <c r="B25" s="19">
        <f>-(SUM(B28:B30)+B32)/12</f>
        <v>0</v>
      </c>
      <c r="C25" s="19">
        <f>-(SUM(C28:C30)+C32)/12</f>
        <v>0</v>
      </c>
      <c r="D25" s="19">
        <f>-(SUM(D28:D30)+D32)/12</f>
        <v>0</v>
      </c>
      <c r="E25" s="19">
        <f>-(SUM(E28:E30)+E32)/12</f>
        <v>0</v>
      </c>
      <c r="F25" s="19">
        <f aca="true" t="shared" si="4" ref="F25:L25">-(SUM(F28:F30)+F32)/12</f>
        <v>0</v>
      </c>
      <c r="G25" s="16">
        <f>+IF($E$1&gt;5,-SUM(B25:F25),0)</f>
        <v>0</v>
      </c>
      <c r="H25" s="19">
        <f>-(SUM(H28:H30)+H32)/12</f>
        <v>0</v>
      </c>
      <c r="I25" s="19">
        <f t="shared" si="4"/>
        <v>0</v>
      </c>
      <c r="J25" s="19">
        <f t="shared" si="4"/>
        <v>0</v>
      </c>
      <c r="K25" s="19">
        <f t="shared" si="4"/>
        <v>0</v>
      </c>
      <c r="L25" s="19">
        <f t="shared" si="4"/>
        <v>0</v>
      </c>
      <c r="M25" s="16">
        <f>+IF($E$1=12,-SUM(B25:L25),0)</f>
        <v>0</v>
      </c>
      <c r="N25" s="16">
        <v>0</v>
      </c>
      <c r="O25" s="17">
        <f>+SUM(B25:N25)</f>
        <v>0</v>
      </c>
    </row>
    <row r="26" spans="1:15" s="2" customFormat="1" ht="12.75" thickBot="1">
      <c r="A26" s="20" t="s">
        <v>93</v>
      </c>
      <c r="B26" s="21">
        <f>+ROUND(SUM(B6:B21),2)</f>
        <v>0</v>
      </c>
      <c r="C26" s="21">
        <f aca="true" t="shared" si="5" ref="C26:M26">+SUM(C6:C20)</f>
        <v>0</v>
      </c>
      <c r="D26" s="21">
        <f t="shared" si="5"/>
        <v>0</v>
      </c>
      <c r="E26" s="21">
        <f t="shared" si="5"/>
        <v>0</v>
      </c>
      <c r="F26" s="21">
        <f t="shared" si="5"/>
        <v>0</v>
      </c>
      <c r="G26" s="21">
        <f t="shared" si="5"/>
        <v>0</v>
      </c>
      <c r="H26" s="21">
        <f t="shared" si="5"/>
        <v>0</v>
      </c>
      <c r="I26" s="21">
        <f>+SUM(I6:I20)</f>
        <v>0</v>
      </c>
      <c r="J26" s="21">
        <f t="shared" si="5"/>
        <v>0</v>
      </c>
      <c r="K26" s="21">
        <f>+SUM(K6:K22)</f>
        <v>0</v>
      </c>
      <c r="L26" s="21">
        <f t="shared" si="5"/>
        <v>0</v>
      </c>
      <c r="M26" s="21">
        <f t="shared" si="5"/>
        <v>0</v>
      </c>
      <c r="N26" s="21">
        <f>+SUM(N6:N20)</f>
        <v>0</v>
      </c>
      <c r="O26" s="21">
        <f>+SUM(O6:O20)</f>
        <v>0</v>
      </c>
    </row>
    <row r="27" s="2" customFormat="1" ht="12.75" thickBot="1"/>
    <row r="28" spans="1:15" s="2" customFormat="1" ht="12.75" thickBot="1">
      <c r="A28" s="8" t="s">
        <v>15</v>
      </c>
      <c r="B28" s="9">
        <f>+B49*11%</f>
        <v>0</v>
      </c>
      <c r="C28" s="9">
        <f aca="true" t="shared" si="6" ref="C28:N28">+C49*11%</f>
        <v>0</v>
      </c>
      <c r="D28" s="9">
        <f t="shared" si="6"/>
        <v>0</v>
      </c>
      <c r="E28" s="9">
        <f t="shared" si="6"/>
        <v>0</v>
      </c>
      <c r="F28" s="9">
        <f t="shared" si="6"/>
        <v>0</v>
      </c>
      <c r="G28" s="9">
        <f t="shared" si="6"/>
        <v>0</v>
      </c>
      <c r="H28" s="9">
        <f t="shared" si="6"/>
        <v>0</v>
      </c>
      <c r="I28" s="9">
        <f t="shared" si="6"/>
        <v>0</v>
      </c>
      <c r="J28" s="9">
        <f t="shared" si="6"/>
        <v>0</v>
      </c>
      <c r="K28" s="9">
        <f t="shared" si="6"/>
        <v>0</v>
      </c>
      <c r="L28" s="9">
        <f t="shared" si="6"/>
        <v>0</v>
      </c>
      <c r="M28" s="9">
        <f t="shared" si="6"/>
        <v>0</v>
      </c>
      <c r="N28" s="9">
        <f t="shared" si="6"/>
        <v>0</v>
      </c>
      <c r="O28" s="10">
        <f>+SUM(B28:N28)</f>
        <v>0</v>
      </c>
    </row>
    <row r="29" spans="1:15" s="2" customFormat="1" ht="12.75" thickBot="1">
      <c r="A29" s="11" t="s">
        <v>19</v>
      </c>
      <c r="B29" s="12">
        <f>+B28/11*3</f>
        <v>0</v>
      </c>
      <c r="C29" s="12">
        <f aca="true" t="shared" si="7" ref="C29:N29">+C28/11*3</f>
        <v>0</v>
      </c>
      <c r="D29" s="12">
        <f t="shared" si="7"/>
        <v>0</v>
      </c>
      <c r="E29" s="12">
        <f t="shared" si="7"/>
        <v>0</v>
      </c>
      <c r="F29" s="12">
        <f t="shared" si="7"/>
        <v>0</v>
      </c>
      <c r="G29" s="12">
        <f t="shared" si="7"/>
        <v>0</v>
      </c>
      <c r="H29" s="12">
        <f t="shared" si="7"/>
        <v>0</v>
      </c>
      <c r="I29" s="12">
        <f t="shared" si="7"/>
        <v>0</v>
      </c>
      <c r="J29" s="12">
        <f t="shared" si="7"/>
        <v>0</v>
      </c>
      <c r="K29" s="12">
        <f t="shared" si="7"/>
        <v>0</v>
      </c>
      <c r="L29" s="12">
        <f t="shared" si="7"/>
        <v>0</v>
      </c>
      <c r="M29" s="12">
        <f t="shared" si="7"/>
        <v>0</v>
      </c>
      <c r="N29" s="12">
        <f t="shared" si="7"/>
        <v>0</v>
      </c>
      <c r="O29" s="10">
        <f aca="true" t="shared" si="8" ref="O29:O35">+SUM(B29:N29)</f>
        <v>0</v>
      </c>
    </row>
    <row r="30" spans="1:15" s="2" customFormat="1" ht="12.75" thickBot="1">
      <c r="A30" s="11" t="s">
        <v>20</v>
      </c>
      <c r="B30" s="12">
        <f>+B29</f>
        <v>0</v>
      </c>
      <c r="C30" s="12">
        <f aca="true" t="shared" si="9" ref="C30:N30">+C29</f>
        <v>0</v>
      </c>
      <c r="D30" s="12">
        <f t="shared" si="9"/>
        <v>0</v>
      </c>
      <c r="E30" s="12">
        <f t="shared" si="9"/>
        <v>0</v>
      </c>
      <c r="F30" s="12">
        <f t="shared" si="9"/>
        <v>0</v>
      </c>
      <c r="G30" s="12">
        <f t="shared" si="9"/>
        <v>0</v>
      </c>
      <c r="H30" s="12">
        <f t="shared" si="9"/>
        <v>0</v>
      </c>
      <c r="I30" s="12">
        <f t="shared" si="9"/>
        <v>0</v>
      </c>
      <c r="J30" s="12">
        <f t="shared" si="9"/>
        <v>0</v>
      </c>
      <c r="K30" s="12">
        <f t="shared" si="9"/>
        <v>0</v>
      </c>
      <c r="L30" s="12">
        <f t="shared" si="9"/>
        <v>0</v>
      </c>
      <c r="M30" s="12">
        <f t="shared" si="9"/>
        <v>0</v>
      </c>
      <c r="N30" s="12">
        <f t="shared" si="9"/>
        <v>0</v>
      </c>
      <c r="O30" s="10">
        <f t="shared" si="8"/>
        <v>0</v>
      </c>
    </row>
    <row r="31" spans="1:15" s="2" customFormat="1" ht="12.75" thickBot="1">
      <c r="A31" s="11" t="s">
        <v>22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 t="shared" si="8"/>
        <v>0</v>
      </c>
    </row>
    <row r="32" spans="1:15" s="2" customFormat="1" ht="12.75" thickBot="1">
      <c r="A32" s="11" t="s">
        <v>21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>
        <f t="shared" si="8"/>
        <v>0</v>
      </c>
    </row>
    <row r="33" spans="1:15" s="2" customFormat="1" ht="12.75" thickBot="1">
      <c r="A33" s="11" t="s">
        <v>121</v>
      </c>
      <c r="B33" s="12">
        <f aca="true" t="shared" si="10" ref="B33:J33">+B22</f>
        <v>0</v>
      </c>
      <c r="C33" s="12">
        <f t="shared" si="10"/>
        <v>0</v>
      </c>
      <c r="D33" s="12">
        <f t="shared" si="10"/>
        <v>0</v>
      </c>
      <c r="E33" s="12">
        <f t="shared" si="10"/>
        <v>0</v>
      </c>
      <c r="F33" s="12">
        <f t="shared" si="10"/>
        <v>0</v>
      </c>
      <c r="G33" s="12">
        <f t="shared" si="10"/>
        <v>0</v>
      </c>
      <c r="H33" s="12">
        <f t="shared" si="10"/>
        <v>0</v>
      </c>
      <c r="I33" s="12">
        <f t="shared" si="10"/>
        <v>0</v>
      </c>
      <c r="J33" s="12">
        <f t="shared" si="10"/>
        <v>0</v>
      </c>
      <c r="K33" s="12">
        <f>+K22</f>
        <v>0</v>
      </c>
      <c r="L33" s="12">
        <f>+L22</f>
        <v>0</v>
      </c>
      <c r="M33" s="12">
        <f>+M22</f>
        <v>0</v>
      </c>
      <c r="N33" s="12">
        <f>+N22</f>
        <v>0</v>
      </c>
      <c r="O33" s="10">
        <f t="shared" si="8"/>
        <v>0</v>
      </c>
    </row>
    <row r="34" spans="1:15" s="2" customFormat="1" ht="12.75" thickBot="1">
      <c r="A34" s="11" t="s">
        <v>124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8"/>
        <v>0</v>
      </c>
    </row>
    <row r="35" spans="1:15" s="2" customFormat="1" ht="12.75" thickBot="1">
      <c r="A35" s="22" t="s">
        <v>106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0">
        <f t="shared" si="8"/>
        <v>0</v>
      </c>
    </row>
    <row r="36" spans="1:15" s="2" customFormat="1" ht="12.75" thickBot="1">
      <c r="A36" s="20" t="s">
        <v>29</v>
      </c>
      <c r="B36" s="21">
        <f>+SUM(B28:B35)</f>
        <v>0</v>
      </c>
      <c r="C36" s="21">
        <f aca="true" t="shared" si="11" ref="C36:M36">+SUM(C28:C35)</f>
        <v>0</v>
      </c>
      <c r="D36" s="21">
        <f t="shared" si="11"/>
        <v>0</v>
      </c>
      <c r="E36" s="21">
        <f t="shared" si="11"/>
        <v>0</v>
      </c>
      <c r="F36" s="21">
        <f t="shared" si="11"/>
        <v>0</v>
      </c>
      <c r="G36" s="21">
        <f t="shared" si="11"/>
        <v>0</v>
      </c>
      <c r="H36" s="21">
        <f t="shared" si="11"/>
        <v>0</v>
      </c>
      <c r="I36" s="21">
        <f t="shared" si="11"/>
        <v>0</v>
      </c>
      <c r="J36" s="21">
        <f t="shared" si="11"/>
        <v>0</v>
      </c>
      <c r="K36" s="21">
        <f t="shared" si="11"/>
        <v>0</v>
      </c>
      <c r="L36" s="21">
        <f t="shared" si="11"/>
        <v>0</v>
      </c>
      <c r="M36" s="21">
        <f t="shared" si="11"/>
        <v>0</v>
      </c>
      <c r="N36" s="21">
        <f>+SUM(N28:N35)</f>
        <v>0</v>
      </c>
      <c r="O36" s="21">
        <f>+SUM(B36:M36)</f>
        <v>0</v>
      </c>
    </row>
    <row r="37" s="2" customFormat="1" ht="12.75" thickBot="1">
      <c r="O37" s="6"/>
    </row>
    <row r="38" spans="1:15" s="2" customFormat="1" ht="12.75" thickBot="1">
      <c r="A38" s="20" t="s">
        <v>30</v>
      </c>
      <c r="B38" s="21">
        <f>+ROUND(B26-B36,2)</f>
        <v>0</v>
      </c>
      <c r="C38" s="21">
        <f aca="true" t="shared" si="12" ref="C38:M38">+ROUND(C26-C36,2)</f>
        <v>0</v>
      </c>
      <c r="D38" s="21">
        <f t="shared" si="12"/>
        <v>0</v>
      </c>
      <c r="E38" s="21">
        <f t="shared" si="12"/>
        <v>0</v>
      </c>
      <c r="F38" s="21">
        <f t="shared" si="12"/>
        <v>0</v>
      </c>
      <c r="G38" s="21">
        <f t="shared" si="12"/>
        <v>0</v>
      </c>
      <c r="H38" s="21">
        <f t="shared" si="12"/>
        <v>0</v>
      </c>
      <c r="I38" s="21">
        <f t="shared" si="12"/>
        <v>0</v>
      </c>
      <c r="J38" s="21">
        <f t="shared" si="12"/>
        <v>0</v>
      </c>
      <c r="K38" s="21">
        <f t="shared" si="12"/>
        <v>0</v>
      </c>
      <c r="L38" s="21">
        <f t="shared" si="12"/>
        <v>0</v>
      </c>
      <c r="M38" s="21">
        <f t="shared" si="12"/>
        <v>0</v>
      </c>
      <c r="N38" s="21">
        <f>+ROUND(N26-N36,2)</f>
        <v>0</v>
      </c>
      <c r="O38" s="21">
        <f>+SUM(B38:M38)</f>
        <v>0</v>
      </c>
    </row>
    <row r="39" spans="1:15" s="2" customFormat="1" ht="12">
      <c r="A39" s="2" t="s">
        <v>109</v>
      </c>
      <c r="B39" s="6">
        <f aca="true" t="shared" si="13" ref="B39:M39">+IF($E$1=B4,$N$122,0)</f>
        <v>0</v>
      </c>
      <c r="C39" s="6">
        <f t="shared" si="13"/>
        <v>0</v>
      </c>
      <c r="D39" s="6">
        <f t="shared" si="13"/>
        <v>0</v>
      </c>
      <c r="E39" s="6">
        <f t="shared" si="13"/>
        <v>0</v>
      </c>
      <c r="F39" s="6">
        <f t="shared" si="13"/>
        <v>0</v>
      </c>
      <c r="G39" s="6">
        <f t="shared" si="13"/>
        <v>0</v>
      </c>
      <c r="H39" s="6">
        <f t="shared" si="13"/>
        <v>0</v>
      </c>
      <c r="I39" s="6">
        <f t="shared" si="13"/>
        <v>0</v>
      </c>
      <c r="J39" s="6">
        <f t="shared" si="13"/>
        <v>0</v>
      </c>
      <c r="K39" s="6">
        <f t="shared" si="13"/>
        <v>0</v>
      </c>
      <c r="L39" s="6">
        <f t="shared" si="13"/>
        <v>0</v>
      </c>
      <c r="M39" s="6">
        <f t="shared" si="13"/>
        <v>0</v>
      </c>
      <c r="N39" s="6"/>
      <c r="O39" s="6"/>
    </row>
    <row r="40" spans="2:14" s="2" customFormat="1" ht="12.75" thickBo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5" s="2" customFormat="1" ht="12.75" thickBot="1">
      <c r="A41" s="24" t="s">
        <v>16</v>
      </c>
      <c r="B41" s="25">
        <v>105233.33</v>
      </c>
      <c r="C41" s="25">
        <f>+B41</f>
        <v>105233.33</v>
      </c>
      <c r="D41" s="25">
        <v>117682.47</v>
      </c>
      <c r="E41" s="25">
        <f>+D41</f>
        <v>117682.47</v>
      </c>
      <c r="F41" s="25">
        <f aca="true" t="shared" si="14" ref="F41:N41">+E41</f>
        <v>117682.47</v>
      </c>
      <c r="G41" s="25">
        <v>130321.52</v>
      </c>
      <c r="H41" s="25">
        <f t="shared" si="14"/>
        <v>130321.52</v>
      </c>
      <c r="I41" s="25">
        <f t="shared" si="14"/>
        <v>130321.52</v>
      </c>
      <c r="J41" s="25">
        <v>146246.86</v>
      </c>
      <c r="K41" s="25">
        <f t="shared" si="14"/>
        <v>146246.86</v>
      </c>
      <c r="L41" s="25">
        <f t="shared" si="14"/>
        <v>146246.86</v>
      </c>
      <c r="M41" s="25">
        <v>159028.8</v>
      </c>
      <c r="N41" s="25">
        <f t="shared" si="14"/>
        <v>159028.8</v>
      </c>
      <c r="O41" s="6"/>
    </row>
    <row r="42" spans="1:15" s="2" customFormat="1" ht="12">
      <c r="A42" s="26" t="s">
        <v>17</v>
      </c>
      <c r="B42" s="27">
        <v>30</v>
      </c>
      <c r="C42" s="27">
        <v>30</v>
      </c>
      <c r="D42" s="27">
        <v>30</v>
      </c>
      <c r="E42" s="27">
        <v>30</v>
      </c>
      <c r="F42" s="27">
        <f aca="true" t="shared" si="15" ref="F42:M42">30-F43</f>
        <v>30</v>
      </c>
      <c r="G42" s="27">
        <f t="shared" si="15"/>
        <v>30</v>
      </c>
      <c r="H42" s="27">
        <f t="shared" si="15"/>
        <v>30</v>
      </c>
      <c r="I42" s="27">
        <f t="shared" si="15"/>
        <v>30</v>
      </c>
      <c r="J42" s="27">
        <f t="shared" si="15"/>
        <v>30</v>
      </c>
      <c r="K42" s="27">
        <f t="shared" si="15"/>
        <v>30</v>
      </c>
      <c r="L42" s="27">
        <f t="shared" si="15"/>
        <v>30</v>
      </c>
      <c r="M42" s="27">
        <f t="shared" si="15"/>
        <v>30</v>
      </c>
      <c r="N42" s="27">
        <v>0</v>
      </c>
      <c r="O42" s="6"/>
    </row>
    <row r="43" spans="1:15" s="2" customFormat="1" ht="12">
      <c r="A43" s="28" t="s">
        <v>27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6"/>
    </row>
    <row r="44" spans="1:14" s="2" customFormat="1" ht="12.75" thickBot="1">
      <c r="A44" s="30" t="s">
        <v>18</v>
      </c>
      <c r="B44" s="31">
        <v>30</v>
      </c>
      <c r="C44" s="31">
        <v>60</v>
      </c>
      <c r="D44" s="31">
        <f>+C44+30</f>
        <v>90</v>
      </c>
      <c r="E44" s="31">
        <f aca="true" t="shared" si="16" ref="E44:L44">+D44+30</f>
        <v>120</v>
      </c>
      <c r="F44" s="31">
        <f t="shared" si="16"/>
        <v>150</v>
      </c>
      <c r="G44" s="31">
        <f t="shared" si="16"/>
        <v>180</v>
      </c>
      <c r="H44" s="31">
        <v>30</v>
      </c>
      <c r="I44" s="31">
        <v>60</v>
      </c>
      <c r="J44" s="31">
        <f t="shared" si="16"/>
        <v>90</v>
      </c>
      <c r="K44" s="31">
        <f t="shared" si="16"/>
        <v>120</v>
      </c>
      <c r="L44" s="31">
        <f t="shared" si="16"/>
        <v>150</v>
      </c>
      <c r="M44" s="31">
        <v>180</v>
      </c>
      <c r="N44" s="31">
        <v>180</v>
      </c>
    </row>
    <row r="45" s="2" customFormat="1" ht="12.75" thickBot="1"/>
    <row r="46" spans="1:14" s="2" customFormat="1" ht="12">
      <c r="A46" s="32" t="s">
        <v>101</v>
      </c>
      <c r="B46" s="33">
        <f>+IF((SUM(B6:B11)+B13+B15)&gt;B41/30*B42,B41/30*B42,(SUM(B6:B11)+B13+B15))</f>
        <v>0</v>
      </c>
      <c r="C46" s="33">
        <f aca="true" t="shared" si="17" ref="C46:N46">+IF((SUM(C6:C11)+C13+C15)&gt;C41/30*C42,C41/30*C42,(SUM(C6:C11)+C13+C15))</f>
        <v>0</v>
      </c>
      <c r="D46" s="33">
        <f t="shared" si="17"/>
        <v>0</v>
      </c>
      <c r="E46" s="33">
        <f t="shared" si="17"/>
        <v>0</v>
      </c>
      <c r="F46" s="33">
        <f t="shared" si="17"/>
        <v>0</v>
      </c>
      <c r="G46" s="33">
        <f t="shared" si="17"/>
        <v>0</v>
      </c>
      <c r="H46" s="33">
        <f t="shared" si="17"/>
        <v>0</v>
      </c>
      <c r="I46" s="33">
        <f>+IF((SUM(I6:I11)+I13+I15)&gt;I41/30*I42,I41/30*I42,(SUM(I6:I11)+I13+I15))</f>
        <v>0</v>
      </c>
      <c r="J46" s="33">
        <f t="shared" si="17"/>
        <v>0</v>
      </c>
      <c r="K46" s="33">
        <f t="shared" si="17"/>
        <v>0</v>
      </c>
      <c r="L46" s="33">
        <f t="shared" si="17"/>
        <v>0</v>
      </c>
      <c r="M46" s="33">
        <f t="shared" si="17"/>
        <v>0</v>
      </c>
      <c r="N46" s="33">
        <f t="shared" si="17"/>
        <v>0</v>
      </c>
    </row>
    <row r="47" spans="1:14" s="2" customFormat="1" ht="12">
      <c r="A47" s="28" t="s">
        <v>99</v>
      </c>
      <c r="B47" s="29">
        <f aca="true" t="shared" si="18" ref="B47:M47">+(IF(B12=0,0,IF(B12&gt;B41/30*B43,B41/30*B43,B12)))</f>
        <v>0</v>
      </c>
      <c r="C47" s="29">
        <f>+(IF(C12=0,0,IF(C12&gt;C41/30*C43,C41/30*C43,C12)))</f>
        <v>0</v>
      </c>
      <c r="D47" s="29">
        <f t="shared" si="18"/>
        <v>0</v>
      </c>
      <c r="E47" s="29">
        <f t="shared" si="18"/>
        <v>0</v>
      </c>
      <c r="F47" s="29">
        <f t="shared" si="18"/>
        <v>0</v>
      </c>
      <c r="G47" s="29">
        <f t="shared" si="18"/>
        <v>0</v>
      </c>
      <c r="H47" s="29">
        <f t="shared" si="18"/>
        <v>0</v>
      </c>
      <c r="I47" s="29">
        <f t="shared" si="18"/>
        <v>0</v>
      </c>
      <c r="J47" s="29">
        <f t="shared" si="18"/>
        <v>0</v>
      </c>
      <c r="K47" s="29">
        <f t="shared" si="18"/>
        <v>0</v>
      </c>
      <c r="L47" s="29">
        <f t="shared" si="18"/>
        <v>0</v>
      </c>
      <c r="M47" s="29">
        <f t="shared" si="18"/>
        <v>0</v>
      </c>
      <c r="N47" s="29">
        <f>+(IF(N12=0,0,IF(N12&gt;N41/30*N43,N41/30*N43,N12)))</f>
        <v>0</v>
      </c>
    </row>
    <row r="48" spans="1:14" s="2" customFormat="1" ht="12.75" thickBot="1">
      <c r="A48" s="30" t="s">
        <v>100</v>
      </c>
      <c r="B48" s="31">
        <f>+IF((B16+B17+B14)&gt;B41/360*B44,B41/360*B44,B16+B17+B14)</f>
        <v>0</v>
      </c>
      <c r="C48" s="31">
        <f aca="true" t="shared" si="19" ref="C48:N48">+IF((C16+C17+C14)&gt;C41/360*C44,C41/360*C44,C16+C17+C14)</f>
        <v>0</v>
      </c>
      <c r="D48" s="31">
        <f t="shared" si="19"/>
        <v>0</v>
      </c>
      <c r="E48" s="31">
        <f t="shared" si="19"/>
        <v>0</v>
      </c>
      <c r="F48" s="31">
        <f t="shared" si="19"/>
        <v>0</v>
      </c>
      <c r="G48" s="31">
        <f>+IF((G16+G17+G14)&gt;G41/360*G44-SUM(B48:F48),G41/360*G44-SUM(B48:F48),G16+G17+G14)</f>
        <v>0</v>
      </c>
      <c r="H48" s="31">
        <f t="shared" si="19"/>
        <v>0</v>
      </c>
      <c r="I48" s="31">
        <f t="shared" si="19"/>
        <v>0</v>
      </c>
      <c r="J48" s="31">
        <f t="shared" si="19"/>
        <v>0</v>
      </c>
      <c r="K48" s="31">
        <f t="shared" si="19"/>
        <v>0</v>
      </c>
      <c r="L48" s="31">
        <f t="shared" si="19"/>
        <v>0</v>
      </c>
      <c r="M48" s="31">
        <f t="shared" si="19"/>
        <v>0</v>
      </c>
      <c r="N48" s="31">
        <f t="shared" si="19"/>
        <v>0</v>
      </c>
    </row>
    <row r="49" spans="1:14" s="2" customFormat="1" ht="12.75" thickBot="1">
      <c r="A49" s="34" t="s">
        <v>102</v>
      </c>
      <c r="B49" s="35">
        <f>+SUM(B46:B48)</f>
        <v>0</v>
      </c>
      <c r="C49" s="35">
        <f aca="true" t="shared" si="20" ref="C49:M49">+SUM(C46:C48)</f>
        <v>0</v>
      </c>
      <c r="D49" s="35">
        <f t="shared" si="20"/>
        <v>0</v>
      </c>
      <c r="E49" s="35">
        <f t="shared" si="20"/>
        <v>0</v>
      </c>
      <c r="F49" s="35">
        <f t="shared" si="20"/>
        <v>0</v>
      </c>
      <c r="G49" s="35">
        <f t="shared" si="20"/>
        <v>0</v>
      </c>
      <c r="H49" s="35">
        <f t="shared" si="20"/>
        <v>0</v>
      </c>
      <c r="I49" s="35">
        <f t="shared" si="20"/>
        <v>0</v>
      </c>
      <c r="J49" s="35">
        <f t="shared" si="20"/>
        <v>0</v>
      </c>
      <c r="K49" s="35">
        <f t="shared" si="20"/>
        <v>0</v>
      </c>
      <c r="L49" s="35">
        <f t="shared" si="20"/>
        <v>0</v>
      </c>
      <c r="M49" s="35">
        <f t="shared" si="20"/>
        <v>0</v>
      </c>
      <c r="N49" s="35">
        <f>+SUM(N46:N48)</f>
        <v>0</v>
      </c>
    </row>
    <row r="50" spans="2:4" s="2" customFormat="1" ht="12">
      <c r="B50" s="6"/>
      <c r="C50" s="6"/>
      <c r="D50" s="6"/>
    </row>
    <row r="51" s="2" customFormat="1" ht="12">
      <c r="C51" s="6"/>
    </row>
    <row r="52" s="2" customFormat="1" ht="12.75" thickBot="1"/>
    <row r="53" spans="2:14" s="2" customFormat="1" ht="12.75" thickBot="1">
      <c r="B53" s="292" t="s">
        <v>34</v>
      </c>
      <c r="C53" s="293"/>
      <c r="D53" s="293"/>
      <c r="E53" s="293"/>
      <c r="F53" s="294"/>
      <c r="I53" s="295" t="s">
        <v>63</v>
      </c>
      <c r="J53" s="296"/>
      <c r="K53" s="296"/>
      <c r="L53" s="24" t="s">
        <v>59</v>
      </c>
      <c r="M53" s="24" t="s">
        <v>60</v>
      </c>
      <c r="N53" s="24" t="s">
        <v>61</v>
      </c>
    </row>
    <row r="54" spans="2:14" s="2" customFormat="1" ht="12.75" thickBot="1">
      <c r="B54" s="36" t="s">
        <v>52</v>
      </c>
      <c r="C54" s="24" t="s">
        <v>53</v>
      </c>
      <c r="D54" s="37" t="s">
        <v>54</v>
      </c>
      <c r="E54" s="24" t="s">
        <v>55</v>
      </c>
      <c r="F54" s="38" t="s">
        <v>56</v>
      </c>
      <c r="I54" s="297" t="str">
        <f aca="true" t="shared" si="21" ref="I54:I70">+A6</f>
        <v>Sueldo Fijo</v>
      </c>
      <c r="J54" s="298"/>
      <c r="K54" s="298"/>
      <c r="L54" s="39"/>
      <c r="M54" s="39">
        <f>+O6</f>
        <v>0</v>
      </c>
      <c r="N54" s="39">
        <f aca="true" t="shared" si="22" ref="N54:N72">+L54+M54</f>
        <v>0</v>
      </c>
    </row>
    <row r="55" spans="2:14" s="2" customFormat="1" ht="12">
      <c r="B55" s="40">
        <f aca="true" t="shared" si="23" ref="B55:D63">+ROUND(D174/12*$E$1,2)</f>
        <v>0</v>
      </c>
      <c r="C55" s="40">
        <f t="shared" si="23"/>
        <v>33039.81</v>
      </c>
      <c r="D55" s="40">
        <f t="shared" si="23"/>
        <v>0</v>
      </c>
      <c r="E55" s="41">
        <f aca="true" t="shared" si="24" ref="E55:E63">+G174</f>
        <v>5</v>
      </c>
      <c r="F55" s="33">
        <f aca="true" t="shared" si="25" ref="F55:F63">+ROUND(H174/12*$E$1,2)</f>
        <v>0</v>
      </c>
      <c r="I55" s="290" t="str">
        <f t="shared" si="21"/>
        <v>Novedades del mes</v>
      </c>
      <c r="J55" s="291"/>
      <c r="K55" s="291"/>
      <c r="L55" s="42"/>
      <c r="M55" s="42">
        <f>+O7</f>
        <v>0</v>
      </c>
      <c r="N55" s="42">
        <f t="shared" si="22"/>
        <v>0</v>
      </c>
    </row>
    <row r="56" spans="2:14" s="2" customFormat="1" ht="12">
      <c r="B56" s="43">
        <f t="shared" si="23"/>
        <v>33039.81</v>
      </c>
      <c r="C56" s="43">
        <f t="shared" si="23"/>
        <v>66079.62</v>
      </c>
      <c r="D56" s="43">
        <f t="shared" si="23"/>
        <v>1652</v>
      </c>
      <c r="E56" s="44">
        <f t="shared" si="24"/>
        <v>9</v>
      </c>
      <c r="F56" s="27">
        <f t="shared" si="25"/>
        <v>33039.81</v>
      </c>
      <c r="I56" s="290" t="str">
        <f t="shared" si="21"/>
        <v>HORAS EXTRAS 100% EXCENTAS</v>
      </c>
      <c r="J56" s="291"/>
      <c r="K56" s="291"/>
      <c r="L56" s="42"/>
      <c r="M56" s="42">
        <f>+O8*0.5</f>
        <v>0</v>
      </c>
      <c r="N56" s="42">
        <f t="shared" si="22"/>
        <v>0</v>
      </c>
    </row>
    <row r="57" spans="2:14" s="2" customFormat="1" ht="12">
      <c r="B57" s="43">
        <f t="shared" si="23"/>
        <v>66079.62</v>
      </c>
      <c r="C57" s="43">
        <f t="shared" si="23"/>
        <v>99119.43</v>
      </c>
      <c r="D57" s="43">
        <f t="shared" si="23"/>
        <v>4626</v>
      </c>
      <c r="E57" s="44">
        <f t="shared" si="24"/>
        <v>12</v>
      </c>
      <c r="F57" s="27">
        <f t="shared" si="25"/>
        <v>66079.62</v>
      </c>
      <c r="I57" s="290" t="str">
        <f t="shared" si="21"/>
        <v>HORAS EXTRAS 50% EXCENTAS</v>
      </c>
      <c r="J57" s="291"/>
      <c r="K57" s="291"/>
      <c r="L57" s="42"/>
      <c r="M57" s="42">
        <f>+O9*0.666666667</f>
        <v>0</v>
      </c>
      <c r="N57" s="42">
        <f t="shared" si="22"/>
        <v>0</v>
      </c>
    </row>
    <row r="58" spans="2:14" s="2" customFormat="1" ht="12">
      <c r="B58" s="43">
        <f t="shared" si="23"/>
        <v>99119.43</v>
      </c>
      <c r="C58" s="43">
        <f t="shared" si="23"/>
        <v>132159.24</v>
      </c>
      <c r="D58" s="43">
        <f t="shared" si="23"/>
        <v>8591</v>
      </c>
      <c r="E58" s="44">
        <f t="shared" si="24"/>
        <v>15</v>
      </c>
      <c r="F58" s="27">
        <f t="shared" si="25"/>
        <v>99119.43</v>
      </c>
      <c r="I58" s="290" t="str">
        <f t="shared" si="21"/>
        <v>HORAS EXTRAS 50%</v>
      </c>
      <c r="J58" s="291"/>
      <c r="K58" s="291"/>
      <c r="L58" s="42"/>
      <c r="M58" s="42">
        <f>+O10</f>
        <v>0</v>
      </c>
      <c r="N58" s="42">
        <f t="shared" si="22"/>
        <v>0</v>
      </c>
    </row>
    <row r="59" spans="2:14" s="2" customFormat="1" ht="12">
      <c r="B59" s="43">
        <f t="shared" si="23"/>
        <v>132159.24</v>
      </c>
      <c r="C59" s="43">
        <f t="shared" si="23"/>
        <v>198238.86</v>
      </c>
      <c r="D59" s="43">
        <f t="shared" si="23"/>
        <v>13547</v>
      </c>
      <c r="E59" s="44">
        <f t="shared" si="24"/>
        <v>19</v>
      </c>
      <c r="F59" s="27">
        <f t="shared" si="25"/>
        <v>132159.24</v>
      </c>
      <c r="I59" s="290" t="str">
        <f t="shared" si="21"/>
        <v>PREMIO BRAVO</v>
      </c>
      <c r="J59" s="291"/>
      <c r="K59" s="291"/>
      <c r="L59" s="42"/>
      <c r="M59" s="42">
        <f>+O11</f>
        <v>0</v>
      </c>
      <c r="N59" s="42">
        <f t="shared" si="22"/>
        <v>0</v>
      </c>
    </row>
    <row r="60" spans="2:14" s="2" customFormat="1" ht="15" customHeight="1">
      <c r="B60" s="43">
        <f t="shared" si="23"/>
        <v>198238.86</v>
      </c>
      <c r="C60" s="43">
        <f t="shared" si="23"/>
        <v>264318.48</v>
      </c>
      <c r="D60" s="43">
        <f t="shared" si="23"/>
        <v>26102</v>
      </c>
      <c r="E60" s="44">
        <f t="shared" si="24"/>
        <v>23</v>
      </c>
      <c r="F60" s="27">
        <f t="shared" si="25"/>
        <v>198238.86</v>
      </c>
      <c r="I60" s="290" t="str">
        <f t="shared" si="21"/>
        <v>Vacaciones</v>
      </c>
      <c r="J60" s="291"/>
      <c r="K60" s="291"/>
      <c r="L60" s="42"/>
      <c r="M60" s="42">
        <f>+O12</f>
        <v>0</v>
      </c>
      <c r="N60" s="42">
        <f t="shared" si="22"/>
        <v>0</v>
      </c>
    </row>
    <row r="61" spans="2:14" s="2" customFormat="1" ht="15" customHeight="1">
      <c r="B61" s="43">
        <f t="shared" si="23"/>
        <v>264318.48</v>
      </c>
      <c r="C61" s="43">
        <f t="shared" si="23"/>
        <v>396477.72</v>
      </c>
      <c r="D61" s="43">
        <f t="shared" si="23"/>
        <v>41300</v>
      </c>
      <c r="E61" s="44">
        <f t="shared" si="24"/>
        <v>27</v>
      </c>
      <c r="F61" s="27">
        <f t="shared" si="25"/>
        <v>264318.48</v>
      </c>
      <c r="I61" s="278" t="str">
        <f t="shared" si="21"/>
        <v>Dto Vacaciones</v>
      </c>
      <c r="J61" s="279"/>
      <c r="K61" s="280"/>
      <c r="L61" s="42"/>
      <c r="M61" s="42">
        <f>+O13</f>
        <v>0</v>
      </c>
      <c r="N61" s="42">
        <f t="shared" si="22"/>
        <v>0</v>
      </c>
    </row>
    <row r="62" spans="2:14" s="2" customFormat="1" ht="15" customHeight="1">
      <c r="B62" s="43">
        <f t="shared" si="23"/>
        <v>396477.72</v>
      </c>
      <c r="C62" s="43">
        <f t="shared" si="23"/>
        <v>528636.96</v>
      </c>
      <c r="D62" s="43">
        <f t="shared" si="23"/>
        <v>76983</v>
      </c>
      <c r="E62" s="44">
        <f t="shared" si="24"/>
        <v>31</v>
      </c>
      <c r="F62" s="27">
        <f t="shared" si="25"/>
        <v>396477.72</v>
      </c>
      <c r="I62" s="278" t="str">
        <f t="shared" si="21"/>
        <v>Sac sobre gratificacion</v>
      </c>
      <c r="J62" s="279"/>
      <c r="K62" s="280"/>
      <c r="L62" s="42"/>
      <c r="M62" s="42">
        <f>+O14</f>
        <v>0</v>
      </c>
      <c r="N62" s="42">
        <f t="shared" si="22"/>
        <v>0</v>
      </c>
    </row>
    <row r="63" spans="2:14" s="2" customFormat="1" ht="15.75" customHeight="1" thickBot="1">
      <c r="B63" s="45">
        <f t="shared" si="23"/>
        <v>528636.96</v>
      </c>
      <c r="C63" s="45">
        <f t="shared" si="23"/>
        <v>999999999</v>
      </c>
      <c r="D63" s="45">
        <f t="shared" si="23"/>
        <v>117952</v>
      </c>
      <c r="E63" s="46">
        <f t="shared" si="24"/>
        <v>35</v>
      </c>
      <c r="F63" s="47">
        <f t="shared" si="25"/>
        <v>528636.96</v>
      </c>
      <c r="I63" s="278" t="str">
        <f t="shared" si="21"/>
        <v>Gratificacion / Premio prorrateable</v>
      </c>
      <c r="J63" s="279"/>
      <c r="K63" s="280"/>
      <c r="L63" s="42"/>
      <c r="M63" s="42">
        <f>+N188</f>
        <v>0</v>
      </c>
      <c r="N63" s="42">
        <f t="shared" si="22"/>
        <v>0</v>
      </c>
    </row>
    <row r="64" spans="9:14" s="2" customFormat="1" ht="15" customHeight="1">
      <c r="I64" s="278" t="str">
        <f t="shared" si="21"/>
        <v>SAC Gratificacion Premio Prorrateable</v>
      </c>
      <c r="J64" s="279"/>
      <c r="K64" s="280"/>
      <c r="L64" s="42"/>
      <c r="M64" s="42">
        <f>+N189</f>
        <v>0</v>
      </c>
      <c r="N64" s="42">
        <f t="shared" si="22"/>
        <v>0</v>
      </c>
    </row>
    <row r="65" spans="9:14" s="2" customFormat="1" ht="15" customHeight="1">
      <c r="I65" s="278" t="str">
        <f t="shared" si="21"/>
        <v>SAC </v>
      </c>
      <c r="J65" s="279"/>
      <c r="K65" s="280"/>
      <c r="L65" s="42"/>
      <c r="M65" s="42">
        <f>+O17</f>
        <v>0</v>
      </c>
      <c r="N65" s="42">
        <f t="shared" si="22"/>
        <v>0</v>
      </c>
    </row>
    <row r="66" spans="9:14" s="2" customFormat="1" ht="12.75" thickBot="1">
      <c r="I66" s="278" t="str">
        <f t="shared" si="21"/>
        <v>Sueldo No rem</v>
      </c>
      <c r="J66" s="279"/>
      <c r="K66" s="280"/>
      <c r="L66" s="42"/>
      <c r="M66" s="42">
        <f>+O18</f>
        <v>0</v>
      </c>
      <c r="N66" s="42">
        <f t="shared" si="22"/>
        <v>0</v>
      </c>
    </row>
    <row r="67" spans="1:14" s="2" customFormat="1" ht="15.75" customHeight="1" thickBot="1">
      <c r="A67" s="104" t="s">
        <v>57</v>
      </c>
      <c r="B67" s="48" t="s">
        <v>58</v>
      </c>
      <c r="I67" s="278">
        <f t="shared" si="21"/>
      </c>
      <c r="J67" s="279"/>
      <c r="K67" s="280"/>
      <c r="L67" s="42"/>
      <c r="M67" s="42">
        <f>+O19</f>
        <v>0</v>
      </c>
      <c r="N67" s="42">
        <f t="shared" si="22"/>
        <v>0</v>
      </c>
    </row>
    <row r="68" spans="1:14" s="2" customFormat="1" ht="15" customHeight="1">
      <c r="A68" s="49" t="s">
        <v>36</v>
      </c>
      <c r="B68" s="10">
        <v>0</v>
      </c>
      <c r="I68" s="278" t="str">
        <f t="shared" si="21"/>
        <v>Conceptos indemnizatorios</v>
      </c>
      <c r="J68" s="279"/>
      <c r="K68" s="280"/>
      <c r="L68" s="42"/>
      <c r="M68" s="42">
        <f>+O20</f>
        <v>0</v>
      </c>
      <c r="N68" s="42">
        <f t="shared" si="22"/>
        <v>0</v>
      </c>
    </row>
    <row r="69" spans="1:14" s="2" customFormat="1" ht="15" customHeight="1">
      <c r="A69" s="50" t="s">
        <v>37</v>
      </c>
      <c r="B69" s="13">
        <v>0</v>
      </c>
      <c r="I69" s="278" t="str">
        <f t="shared" si="21"/>
        <v>Gratificaciones por Cese / Indemn</v>
      </c>
      <c r="J69" s="279"/>
      <c r="K69" s="280"/>
      <c r="L69" s="42"/>
      <c r="M69" s="42">
        <v>0</v>
      </c>
      <c r="N69" s="42">
        <f t="shared" si="22"/>
        <v>0</v>
      </c>
    </row>
    <row r="70" spans="1:14" s="2" customFormat="1" ht="15.75" customHeight="1">
      <c r="A70" s="50" t="s">
        <v>39</v>
      </c>
      <c r="B70" s="13">
        <v>0</v>
      </c>
      <c r="I70" s="278" t="str">
        <f t="shared" si="21"/>
        <v>Otros Beneficios </v>
      </c>
      <c r="J70" s="279"/>
      <c r="K70" s="280"/>
      <c r="L70" s="42"/>
      <c r="M70" s="42">
        <f>+O22</f>
        <v>0</v>
      </c>
      <c r="N70" s="42">
        <f t="shared" si="22"/>
        <v>0</v>
      </c>
    </row>
    <row r="71" spans="1:14" s="2" customFormat="1" ht="15.75" customHeight="1" thickBot="1">
      <c r="A71" s="50"/>
      <c r="B71" s="13"/>
      <c r="I71" s="281" t="str">
        <f>+A24</f>
        <v>SAC imputacion mensual</v>
      </c>
      <c r="J71" s="282"/>
      <c r="K71" s="283"/>
      <c r="L71" s="16"/>
      <c r="M71" s="16">
        <f>+O24</f>
        <v>0</v>
      </c>
      <c r="N71" s="16">
        <f t="shared" si="22"/>
        <v>0</v>
      </c>
    </row>
    <row r="72" spans="1:14" s="2" customFormat="1" ht="15.75" customHeight="1" thickBot="1">
      <c r="A72" s="50" t="s">
        <v>104</v>
      </c>
      <c r="B72" s="13">
        <f>+O33</f>
        <v>0</v>
      </c>
      <c r="I72" s="284" t="str">
        <f>+A25</f>
        <v>Descuentos SAC</v>
      </c>
      <c r="J72" s="285"/>
      <c r="K72" s="286"/>
      <c r="L72" s="16"/>
      <c r="M72" s="16">
        <f>+O25</f>
        <v>0</v>
      </c>
      <c r="N72" s="16">
        <f t="shared" si="22"/>
        <v>0</v>
      </c>
    </row>
    <row r="73" spans="1:17" s="2" customFormat="1" ht="12.75" thickBot="1">
      <c r="A73" s="50" t="s">
        <v>105</v>
      </c>
      <c r="B73" s="13">
        <v>0</v>
      </c>
      <c r="I73" s="265" t="str">
        <f>+A26</f>
        <v>Bruto TOPE GCIA</v>
      </c>
      <c r="J73" s="266"/>
      <c r="K73" s="267"/>
      <c r="L73" s="51">
        <f>+SUM(L54:L72)</f>
        <v>0</v>
      </c>
      <c r="M73" s="51">
        <f>+SUM(M54:M72)</f>
        <v>0</v>
      </c>
      <c r="N73" s="51">
        <f>+SUM(N54:N72)</f>
        <v>0</v>
      </c>
      <c r="Q73" s="6"/>
    </row>
    <row r="74" spans="1:2" s="2" customFormat="1" ht="12.75" thickBot="1">
      <c r="A74" s="50" t="s">
        <v>42</v>
      </c>
      <c r="B74" s="13">
        <v>0</v>
      </c>
    </row>
    <row r="75" spans="1:14" s="2" customFormat="1" ht="12.75" thickBot="1">
      <c r="A75" s="50" t="s">
        <v>43</v>
      </c>
      <c r="B75" s="13">
        <v>0</v>
      </c>
      <c r="I75" s="265" t="s">
        <v>62</v>
      </c>
      <c r="J75" s="266"/>
      <c r="K75" s="267"/>
      <c r="L75" s="24" t="s">
        <v>59</v>
      </c>
      <c r="M75" s="24" t="s">
        <v>60</v>
      </c>
      <c r="N75" s="24" t="s">
        <v>61</v>
      </c>
    </row>
    <row r="76" spans="1:14" s="2" customFormat="1" ht="12">
      <c r="A76" s="50" t="s">
        <v>72</v>
      </c>
      <c r="B76" s="13">
        <v>0</v>
      </c>
      <c r="I76" s="287" t="str">
        <f>+A28</f>
        <v>Jubilacion</v>
      </c>
      <c r="J76" s="288"/>
      <c r="K76" s="289"/>
      <c r="L76" s="39"/>
      <c r="M76" s="39">
        <f>+O28</f>
        <v>0</v>
      </c>
      <c r="N76" s="39">
        <f>+L76+M76</f>
        <v>0</v>
      </c>
    </row>
    <row r="77" spans="1:14" s="2" customFormat="1" ht="12">
      <c r="A77" s="50" t="s">
        <v>46</v>
      </c>
      <c r="B77" s="13">
        <v>0</v>
      </c>
      <c r="I77" s="278" t="str">
        <f>+A29</f>
        <v>Ley 19032</v>
      </c>
      <c r="J77" s="279"/>
      <c r="K77" s="280"/>
      <c r="L77" s="42"/>
      <c r="M77" s="42">
        <f>+O29</f>
        <v>0</v>
      </c>
      <c r="N77" s="42">
        <f>+L77+M77</f>
        <v>0</v>
      </c>
    </row>
    <row r="78" spans="1:14" s="2" customFormat="1" ht="12">
      <c r="A78" s="50" t="s">
        <v>47</v>
      </c>
      <c r="B78" s="13">
        <v>0</v>
      </c>
      <c r="I78" s="278" t="str">
        <f>+A30</f>
        <v>O. Social</v>
      </c>
      <c r="J78" s="279"/>
      <c r="K78" s="280"/>
      <c r="L78" s="42"/>
      <c r="M78" s="42">
        <f>+O30</f>
        <v>0</v>
      </c>
      <c r="N78" s="42">
        <f>+L78+M78</f>
        <v>0</v>
      </c>
    </row>
    <row r="79" spans="1:14" s="2" customFormat="1" ht="15.75" customHeight="1">
      <c r="A79" s="52"/>
      <c r="B79" s="13"/>
      <c r="I79" s="278" t="str">
        <f>+A32</f>
        <v>Sindicato</v>
      </c>
      <c r="J79" s="279"/>
      <c r="K79" s="280"/>
      <c r="L79" s="42"/>
      <c r="M79" s="42">
        <f>+O32</f>
        <v>0</v>
      </c>
      <c r="N79" s="42">
        <f>+L79+M79</f>
        <v>0</v>
      </c>
    </row>
    <row r="80" spans="1:14" s="2" customFormat="1" ht="12.75" thickBot="1">
      <c r="A80" s="50" t="s">
        <v>103</v>
      </c>
      <c r="B80" s="13">
        <v>0</v>
      </c>
      <c r="I80" s="281" t="str">
        <f>+A33</f>
        <v>Dto seguro de vida</v>
      </c>
      <c r="J80" s="282"/>
      <c r="K80" s="283"/>
      <c r="L80" s="16"/>
      <c r="M80" s="16">
        <f>+O33</f>
        <v>0</v>
      </c>
      <c r="N80" s="16">
        <f>+L80+M80</f>
        <v>0</v>
      </c>
    </row>
    <row r="81" spans="1:14" s="2" customFormat="1" ht="12.75" thickBot="1">
      <c r="A81" s="50" t="s">
        <v>50</v>
      </c>
      <c r="B81" s="13">
        <v>0</v>
      </c>
      <c r="L81" s="6"/>
      <c r="M81" s="6"/>
      <c r="N81" s="6"/>
    </row>
    <row r="82" spans="1:14" s="2" customFormat="1" ht="12.75" thickBot="1">
      <c r="A82" s="53" t="s">
        <v>51</v>
      </c>
      <c r="B82" s="13">
        <v>0</v>
      </c>
      <c r="I82" s="265" t="s">
        <v>68</v>
      </c>
      <c r="J82" s="266"/>
      <c r="K82" s="267"/>
      <c r="L82" s="51">
        <f>+SUM(L76:L81)</f>
        <v>0</v>
      </c>
      <c r="M82" s="51">
        <f>+SUM(M76:M81)</f>
        <v>0</v>
      </c>
      <c r="N82" s="51">
        <f>+SUM(N76:N81)</f>
        <v>0</v>
      </c>
    </row>
    <row r="83" spans="1:14" s="2" customFormat="1" ht="15.75" customHeight="1" thickBot="1">
      <c r="A83" s="15" t="s">
        <v>85</v>
      </c>
      <c r="B83" s="17">
        <v>0</v>
      </c>
      <c r="L83" s="6"/>
      <c r="M83" s="6"/>
      <c r="N83" s="6"/>
    </row>
    <row r="84" spans="9:13" s="2" customFormat="1" ht="12.75" thickBot="1">
      <c r="I84" s="265" t="s">
        <v>64</v>
      </c>
      <c r="J84" s="266"/>
      <c r="K84" s="266"/>
      <c r="L84" s="266"/>
      <c r="M84" s="267"/>
    </row>
    <row r="85" spans="9:14" s="2" customFormat="1" ht="12">
      <c r="I85" s="269" t="str">
        <f>+A70</f>
        <v>Servicio Doméstico</v>
      </c>
      <c r="J85" s="270"/>
      <c r="K85" s="270"/>
      <c r="L85" s="270"/>
      <c r="M85" s="271"/>
      <c r="N85" s="54">
        <f>+IF(B70&gt;B116,B116,B70)</f>
        <v>0</v>
      </c>
    </row>
    <row r="86" spans="9:14" s="2" customFormat="1" ht="12">
      <c r="I86" s="275" t="str">
        <f aca="true" t="shared" si="26" ref="I86:I92">+A72</f>
        <v>Seguro de Vida</v>
      </c>
      <c r="J86" s="276"/>
      <c r="K86" s="276"/>
      <c r="L86" s="276"/>
      <c r="M86" s="277"/>
      <c r="N86" s="42">
        <f>+IF(E1=12,IF(B72&gt;B113,B113,B72),0)</f>
        <v>0</v>
      </c>
    </row>
    <row r="87" spans="9:14" s="2" customFormat="1" ht="12">
      <c r="I87" s="275" t="str">
        <f t="shared" si="26"/>
        <v>Gastos de Sepelio</v>
      </c>
      <c r="J87" s="276"/>
      <c r="K87" s="276"/>
      <c r="L87" s="276"/>
      <c r="M87" s="277"/>
      <c r="N87" s="42">
        <f>+IF(B73&gt;B114,B114,B73)</f>
        <v>0</v>
      </c>
    </row>
    <row r="88" spans="9:14" s="2" customFormat="1" ht="12">
      <c r="I88" s="275" t="str">
        <f t="shared" si="26"/>
        <v>Intereses Hipotecarios</v>
      </c>
      <c r="J88" s="276"/>
      <c r="K88" s="276"/>
      <c r="L88" s="276"/>
      <c r="M88" s="277"/>
      <c r="N88" s="42">
        <f>+IF(B74&gt;B115,B115,B74)</f>
        <v>0</v>
      </c>
    </row>
    <row r="89" spans="9:14" s="2" customFormat="1" ht="12">
      <c r="I89" s="275" t="str">
        <f t="shared" si="26"/>
        <v>Alquileres</v>
      </c>
      <c r="J89" s="276"/>
      <c r="K89" s="276"/>
      <c r="L89" s="276"/>
      <c r="M89" s="277"/>
      <c r="N89" s="42">
        <f>+IF(B75&gt;B117,B117,B75)</f>
        <v>0</v>
      </c>
    </row>
    <row r="90" spans="9:14" s="2" customFormat="1" ht="12">
      <c r="I90" s="275" t="str">
        <f t="shared" si="26"/>
        <v>Aportes Jubilatorios cajas Prov.</v>
      </c>
      <c r="J90" s="276"/>
      <c r="K90" s="276"/>
      <c r="L90" s="276"/>
      <c r="M90" s="277"/>
      <c r="N90" s="42">
        <f>+B76</f>
        <v>0</v>
      </c>
    </row>
    <row r="91" spans="9:14" s="2" customFormat="1" ht="12">
      <c r="I91" s="275" t="str">
        <f t="shared" si="26"/>
        <v>Viaticos</v>
      </c>
      <c r="J91" s="276"/>
      <c r="K91" s="276"/>
      <c r="L91" s="276"/>
      <c r="M91" s="277"/>
      <c r="N91" s="42">
        <f>+B77</f>
        <v>0</v>
      </c>
    </row>
    <row r="92" spans="9:14" s="2" customFormat="1" ht="12.75" thickBot="1">
      <c r="I92" s="272" t="str">
        <f t="shared" si="26"/>
        <v>Aporte SGR</v>
      </c>
      <c r="J92" s="273"/>
      <c r="K92" s="273"/>
      <c r="L92" s="273"/>
      <c r="M92" s="274"/>
      <c r="N92" s="16">
        <f>+B78</f>
        <v>0</v>
      </c>
    </row>
    <row r="93" s="2" customFormat="1" ht="15.75" customHeight="1" thickBot="1"/>
    <row r="94" spans="9:14" s="2" customFormat="1" ht="12.75" thickBot="1">
      <c r="I94" s="265" t="s">
        <v>81</v>
      </c>
      <c r="J94" s="266"/>
      <c r="K94" s="266"/>
      <c r="L94" s="266"/>
      <c r="M94" s="267"/>
      <c r="N94" s="51">
        <f>+SUM(N85:N93)</f>
        <v>0</v>
      </c>
    </row>
    <row r="95" s="2" customFormat="1" ht="15.75" customHeight="1" thickBot="1"/>
    <row r="96" spans="9:12" s="2" customFormat="1" ht="15.75" customHeight="1" thickBot="1">
      <c r="I96" s="265" t="s">
        <v>82</v>
      </c>
      <c r="J96" s="266"/>
      <c r="K96" s="267"/>
      <c r="L96" s="51">
        <f>+ROUND(N73-N82-N94,2)</f>
        <v>0</v>
      </c>
    </row>
    <row r="97" spans="9:13" s="2" customFormat="1" ht="12.75" thickBot="1">
      <c r="I97" s="265" t="s">
        <v>81</v>
      </c>
      <c r="J97" s="266"/>
      <c r="K97" s="266"/>
      <c r="L97" s="266"/>
      <c r="M97" s="267"/>
    </row>
    <row r="98" spans="9:14" s="2" customFormat="1" ht="12">
      <c r="I98" s="269" t="str">
        <f>+A80</f>
        <v>OBRA SOCIAL PRIVADA</v>
      </c>
      <c r="J98" s="270"/>
      <c r="K98" s="270"/>
      <c r="L98" s="270"/>
      <c r="M98" s="271"/>
      <c r="N98" s="54">
        <f>+IF(B80&gt;B119,B119,B80)</f>
        <v>0</v>
      </c>
    </row>
    <row r="99" spans="9:14" s="2" customFormat="1" ht="12">
      <c r="I99" s="275" t="str">
        <f>+A81</f>
        <v>DONACIONES</v>
      </c>
      <c r="J99" s="276"/>
      <c r="K99" s="276"/>
      <c r="L99" s="276"/>
      <c r="M99" s="277"/>
      <c r="N99" s="42">
        <f>+IF(B81&gt;B118,B118,B81)</f>
        <v>0</v>
      </c>
    </row>
    <row r="100" spans="9:14" s="2" customFormat="1" ht="12.75" thickBot="1">
      <c r="I100" s="272" t="str">
        <f>+A82</f>
        <v>HONORARIOS MEDICOS</v>
      </c>
      <c r="J100" s="273"/>
      <c r="K100" s="273"/>
      <c r="L100" s="273"/>
      <c r="M100" s="274"/>
      <c r="N100" s="16">
        <f>+IF(E1=12,IF(B82&gt;B120,B120,B82),0)</f>
        <v>0</v>
      </c>
    </row>
    <row r="101" s="2" customFormat="1" ht="15.75" customHeight="1" thickBot="1">
      <c r="N101" s="6"/>
    </row>
    <row r="102" spans="9:14" s="2" customFormat="1" ht="12.75" thickBot="1">
      <c r="I102" s="265" t="s">
        <v>83</v>
      </c>
      <c r="J102" s="266"/>
      <c r="K102" s="266"/>
      <c r="L102" s="266"/>
      <c r="M102" s="267"/>
      <c r="N102" s="55">
        <f>+SUM(N98:N101)</f>
        <v>0</v>
      </c>
    </row>
    <row r="103" s="2" customFormat="1" ht="15.75" customHeight="1" thickBot="1">
      <c r="N103" s="6"/>
    </row>
    <row r="104" spans="9:14" s="2" customFormat="1" ht="12.75" thickBot="1">
      <c r="I104" s="265" t="s">
        <v>65</v>
      </c>
      <c r="J104" s="266"/>
      <c r="K104" s="266"/>
      <c r="L104" s="266"/>
      <c r="M104" s="267"/>
      <c r="N104" s="6"/>
    </row>
    <row r="105" spans="9:14" s="2" customFormat="1" ht="12">
      <c r="I105" s="269" t="str">
        <f>+A68</f>
        <v>Cónyuge</v>
      </c>
      <c r="J105" s="270"/>
      <c r="K105" s="270"/>
      <c r="L105" s="270"/>
      <c r="M105" s="271"/>
      <c r="N105" s="54">
        <f>+B68*B111</f>
        <v>0</v>
      </c>
    </row>
    <row r="106" spans="9:14" s="2" customFormat="1" ht="12.75" thickBot="1">
      <c r="I106" s="272" t="str">
        <f>+A69</f>
        <v>Hijos</v>
      </c>
      <c r="J106" s="273"/>
      <c r="K106" s="273"/>
      <c r="L106" s="273"/>
      <c r="M106" s="274"/>
      <c r="N106" s="16">
        <f>+B112*B69</f>
        <v>0</v>
      </c>
    </row>
    <row r="107" spans="9:14" s="2" customFormat="1" ht="15.75" customHeight="1" thickBot="1">
      <c r="I107" s="56"/>
      <c r="J107" s="56"/>
      <c r="K107" s="56"/>
      <c r="L107" s="56"/>
      <c r="M107" s="56"/>
      <c r="N107" s="6"/>
    </row>
    <row r="108" spans="9:14" s="2" customFormat="1" ht="12.75" thickBot="1">
      <c r="I108" s="265" t="s">
        <v>94</v>
      </c>
      <c r="J108" s="266"/>
      <c r="K108" s="266"/>
      <c r="L108" s="266"/>
      <c r="M108" s="267"/>
      <c r="N108" s="51">
        <f>SUM(N105:N107)</f>
        <v>0</v>
      </c>
    </row>
    <row r="109" spans="9:14" s="2" customFormat="1" ht="15.75" customHeight="1" thickBot="1">
      <c r="I109" s="56"/>
      <c r="J109" s="56"/>
      <c r="K109" s="56"/>
      <c r="L109" s="56"/>
      <c r="M109" s="56"/>
      <c r="N109" s="6"/>
    </row>
    <row r="110" spans="1:14" s="2" customFormat="1" ht="12.75" thickBot="1">
      <c r="A110" s="268" t="s">
        <v>73</v>
      </c>
      <c r="B110" s="268"/>
      <c r="I110" s="265" t="s">
        <v>66</v>
      </c>
      <c r="J110" s="266"/>
      <c r="K110" s="266"/>
      <c r="L110" s="266"/>
      <c r="M110" s="267"/>
      <c r="N110" s="6"/>
    </row>
    <row r="111" spans="1:14" s="2" customFormat="1" ht="12.75" thickBot="1">
      <c r="A111" s="57" t="s">
        <v>36</v>
      </c>
      <c r="B111" s="21">
        <f>+HLOOKUP($E$1,$B$152:$M$162,4,0)</f>
        <v>80033.97</v>
      </c>
      <c r="I111" s="269" t="s">
        <v>35</v>
      </c>
      <c r="J111" s="270"/>
      <c r="K111" s="270"/>
      <c r="L111" s="270"/>
      <c r="M111" s="271"/>
      <c r="N111" s="54">
        <f>+HLOOKUP($E$1,$B$152:$M$162,3,0)*1.2</f>
        <v>103018.788</v>
      </c>
    </row>
    <row r="112" spans="1:14" s="2" customFormat="1" ht="12.75" thickBot="1">
      <c r="A112" s="58" t="s">
        <v>37</v>
      </c>
      <c r="B112" s="21">
        <f>+HLOOKUP($E$1,$B$152:$M$162,5,0)</f>
        <v>40361.43</v>
      </c>
      <c r="I112" s="272" t="s">
        <v>67</v>
      </c>
      <c r="J112" s="273"/>
      <c r="K112" s="273"/>
      <c r="L112" s="273"/>
      <c r="M112" s="274"/>
      <c r="N112" s="16">
        <f>+HLOOKUP($E$1,$B$152:$M$162,6,0)*1.2</f>
        <v>494490.18</v>
      </c>
    </row>
    <row r="113" spans="1:13" s="2" customFormat="1" ht="15.75" customHeight="1" thickBot="1">
      <c r="A113" s="58" t="s">
        <v>74</v>
      </c>
      <c r="B113" s="21">
        <f>+HLOOKUP($E$1,$B$152:$M$162,8,0)</f>
        <v>996.12</v>
      </c>
      <c r="I113" s="56"/>
      <c r="J113" s="56"/>
      <c r="K113" s="56"/>
      <c r="L113" s="56"/>
      <c r="M113" s="56"/>
    </row>
    <row r="114" spans="1:14" s="2" customFormat="1" ht="12.75" thickBot="1">
      <c r="A114" s="58" t="s">
        <v>75</v>
      </c>
      <c r="B114" s="21">
        <f>+HLOOKUP($E$1,$B$152:$M$162,9,0)</f>
        <v>996.12</v>
      </c>
      <c r="I114" s="265" t="s">
        <v>84</v>
      </c>
      <c r="J114" s="266"/>
      <c r="K114" s="266"/>
      <c r="L114" s="266"/>
      <c r="M114" s="267"/>
      <c r="N114" s="55">
        <f>+SUM(N111:N112)</f>
        <v>597508.968</v>
      </c>
    </row>
    <row r="115" spans="1:14" s="2" customFormat="1" ht="12.75" thickBot="1">
      <c r="A115" s="58" t="s">
        <v>76</v>
      </c>
      <c r="B115" s="21">
        <f>+HLOOKUP($E$1,$B$152:$M$162,10,0)</f>
        <v>20000</v>
      </c>
      <c r="I115" s="56"/>
      <c r="J115" s="56"/>
      <c r="K115" s="56"/>
      <c r="L115" s="56"/>
      <c r="M115" s="56"/>
      <c r="N115" s="6"/>
    </row>
    <row r="116" spans="1:14" s="2" customFormat="1" ht="12.75" thickBot="1">
      <c r="A116" s="58" t="s">
        <v>77</v>
      </c>
      <c r="B116" s="21">
        <f>+HLOOKUP($E$1,$B$152:$M$162,7,0)</f>
        <v>85848.99</v>
      </c>
      <c r="I116" s="257" t="s">
        <v>69</v>
      </c>
      <c r="J116" s="258"/>
      <c r="K116" s="258"/>
      <c r="L116" s="37"/>
      <c r="M116" s="37"/>
      <c r="N116" s="51">
        <f>+N73-N82-N94-N102-N108-N114+N134</f>
        <v>-597508.968</v>
      </c>
    </row>
    <row r="117" spans="1:14" s="2" customFormat="1" ht="12.75" thickBot="1">
      <c r="A117" s="58" t="s">
        <v>43</v>
      </c>
      <c r="B117" s="21">
        <f>+B116</f>
        <v>85848.99</v>
      </c>
      <c r="I117" s="257" t="s">
        <v>110</v>
      </c>
      <c r="J117" s="258"/>
      <c r="K117" s="258"/>
      <c r="L117" s="37"/>
      <c r="M117" s="37"/>
      <c r="N117" s="51">
        <f>+N73-N82-N94-N102-N108-N114+N134-N145</f>
        <v>-597508.968</v>
      </c>
    </row>
    <row r="118" spans="1:14" s="2" customFormat="1" ht="12.75" thickBot="1">
      <c r="A118" s="59" t="s">
        <v>79</v>
      </c>
      <c r="B118" s="21">
        <f>+L96*5%</f>
        <v>0</v>
      </c>
      <c r="I118" s="257" t="s">
        <v>86</v>
      </c>
      <c r="J118" s="258"/>
      <c r="K118" s="258"/>
      <c r="L118" s="60"/>
      <c r="M118" s="60"/>
      <c r="N118" s="61">
        <f>IF(AND(N117&lt;0,N116&gt;0),N116*0.05,IF(N116&gt;0,ROUND(LOOKUP(N117,B55:D63)+((N116-LOOKUP(N117,B55:F63))*LOOKUP(N117,B55:E63)/100),2),0))</f>
        <v>0</v>
      </c>
    </row>
    <row r="119" spans="1:14" s="2" customFormat="1" ht="12.75" thickBot="1">
      <c r="A119" s="58" t="s">
        <v>78</v>
      </c>
      <c r="B119" s="21">
        <f>+B118</f>
        <v>0</v>
      </c>
      <c r="N119" s="6"/>
    </row>
    <row r="120" spans="1:16" s="2" customFormat="1" ht="12.75" thickBot="1">
      <c r="A120" s="62" t="s">
        <v>80</v>
      </c>
      <c r="B120" s="21">
        <f>+B119</f>
        <v>0</v>
      </c>
      <c r="I120" s="63" t="s">
        <v>71</v>
      </c>
      <c r="J120" s="64"/>
      <c r="K120" s="64"/>
      <c r="L120" s="65"/>
      <c r="M120" s="65"/>
      <c r="N120" s="66">
        <f>+O35</f>
        <v>0</v>
      </c>
      <c r="P120" s="6"/>
    </row>
    <row r="121" spans="1:16" s="2" customFormat="1" ht="12.75" thickBot="1">
      <c r="A121" s="15" t="s">
        <v>85</v>
      </c>
      <c r="B121" s="21">
        <f>+IF(B83&gt;N118,N118,B83)</f>
        <v>0</v>
      </c>
      <c r="I121" s="105" t="s">
        <v>85</v>
      </c>
      <c r="J121" s="106"/>
      <c r="K121" s="106"/>
      <c r="L121" s="37"/>
      <c r="M121" s="37"/>
      <c r="N121" s="67">
        <f>IF(E1=12,+B121,0)</f>
        <v>0</v>
      </c>
      <c r="P121" s="6"/>
    </row>
    <row r="122" spans="9:14" ht="12.75" thickBot="1">
      <c r="I122" s="105" t="s">
        <v>70</v>
      </c>
      <c r="J122" s="106"/>
      <c r="K122" s="106"/>
      <c r="L122" s="60"/>
      <c r="M122" s="60"/>
      <c r="N122" s="68">
        <f>+N118-N120-N121</f>
        <v>0</v>
      </c>
    </row>
    <row r="123" s="2" customFormat="1" ht="12.75" thickBot="1"/>
    <row r="124" spans="1:13" s="2" customFormat="1" ht="12">
      <c r="A124" s="7" t="str">
        <f>+A4</f>
        <v>Tabla</v>
      </c>
      <c r="B124" s="7">
        <f aca="true" t="shared" si="27" ref="B124:M124">+B4</f>
        <v>1</v>
      </c>
      <c r="C124" s="7">
        <f t="shared" si="27"/>
        <v>2</v>
      </c>
      <c r="D124" s="7">
        <f t="shared" si="27"/>
        <v>3</v>
      </c>
      <c r="E124" s="7">
        <f t="shared" si="27"/>
        <v>4</v>
      </c>
      <c r="F124" s="7">
        <f t="shared" si="27"/>
        <v>5</v>
      </c>
      <c r="G124" s="7">
        <f t="shared" si="27"/>
        <v>6</v>
      </c>
      <c r="H124" s="7">
        <f t="shared" si="27"/>
        <v>7</v>
      </c>
      <c r="I124" s="7">
        <f t="shared" si="27"/>
        <v>8</v>
      </c>
      <c r="J124" s="7">
        <f t="shared" si="27"/>
        <v>9</v>
      </c>
      <c r="K124" s="7">
        <f t="shared" si="27"/>
        <v>10</v>
      </c>
      <c r="L124" s="7">
        <f t="shared" si="27"/>
        <v>11</v>
      </c>
      <c r="M124" s="7">
        <f t="shared" si="27"/>
        <v>12</v>
      </c>
    </row>
    <row r="125" spans="1:14" s="2" customFormat="1" ht="12">
      <c r="A125" s="11" t="s">
        <v>112</v>
      </c>
      <c r="B125" s="12">
        <f>+B8*0.5</f>
        <v>0</v>
      </c>
      <c r="C125" s="12">
        <f>+C8*0.5</f>
        <v>0</v>
      </c>
      <c r="D125" s="12">
        <f>+D8*0.5</f>
        <v>0</v>
      </c>
      <c r="E125" s="12">
        <f>+E8*0.5</f>
        <v>0</v>
      </c>
      <c r="F125" s="12">
        <f aca="true" t="shared" si="28" ref="F125:M125">+F8*0.5</f>
        <v>0</v>
      </c>
      <c r="G125" s="12">
        <f t="shared" si="28"/>
        <v>0</v>
      </c>
      <c r="H125" s="12">
        <f t="shared" si="28"/>
        <v>0</v>
      </c>
      <c r="I125" s="12">
        <f t="shared" si="28"/>
        <v>0</v>
      </c>
      <c r="J125" s="12">
        <f t="shared" si="28"/>
        <v>0</v>
      </c>
      <c r="K125" s="12">
        <f t="shared" si="28"/>
        <v>0</v>
      </c>
      <c r="L125" s="12">
        <f t="shared" si="28"/>
        <v>0</v>
      </c>
      <c r="M125" s="12">
        <f t="shared" si="28"/>
        <v>0</v>
      </c>
      <c r="N125" s="13">
        <f>+SUM(B125:M125)</f>
        <v>0</v>
      </c>
    </row>
    <row r="126" spans="1:14" s="2" customFormat="1" ht="12">
      <c r="A126" s="11" t="s">
        <v>111</v>
      </c>
      <c r="B126" s="12">
        <f>+B9*0.666666667</f>
        <v>0</v>
      </c>
      <c r="C126" s="12">
        <f aca="true" t="shared" si="29" ref="C126:M126">+C9*0.666666667</f>
        <v>0</v>
      </c>
      <c r="D126" s="12">
        <f t="shared" si="29"/>
        <v>0</v>
      </c>
      <c r="E126" s="12">
        <f t="shared" si="29"/>
        <v>0</v>
      </c>
      <c r="F126" s="12">
        <f t="shared" si="29"/>
        <v>0</v>
      </c>
      <c r="G126" s="12">
        <f t="shared" si="29"/>
        <v>0</v>
      </c>
      <c r="H126" s="12">
        <f t="shared" si="29"/>
        <v>0</v>
      </c>
      <c r="I126" s="12">
        <f t="shared" si="29"/>
        <v>0</v>
      </c>
      <c r="J126" s="12">
        <f t="shared" si="29"/>
        <v>0</v>
      </c>
      <c r="K126" s="12">
        <f t="shared" si="29"/>
        <v>0</v>
      </c>
      <c r="L126" s="12">
        <f t="shared" si="29"/>
        <v>0</v>
      </c>
      <c r="M126" s="12">
        <f t="shared" si="29"/>
        <v>0</v>
      </c>
      <c r="N126" s="13">
        <f>+SUM(B126:M126)</f>
        <v>0</v>
      </c>
    </row>
    <row r="127" spans="1:14" s="2" customFormat="1" ht="12">
      <c r="A127" s="57" t="s">
        <v>115</v>
      </c>
      <c r="B127" s="39">
        <f>+B125+B126</f>
        <v>0</v>
      </c>
      <c r="C127" s="39">
        <f aca="true" t="shared" si="30" ref="C127:M127">+C125+C126</f>
        <v>0</v>
      </c>
      <c r="D127" s="39">
        <f t="shared" si="30"/>
        <v>0</v>
      </c>
      <c r="E127" s="39">
        <f t="shared" si="30"/>
        <v>0</v>
      </c>
      <c r="F127" s="39">
        <f t="shared" si="30"/>
        <v>0</v>
      </c>
      <c r="G127" s="39">
        <f t="shared" si="30"/>
        <v>0</v>
      </c>
      <c r="H127" s="39">
        <f t="shared" si="30"/>
        <v>0</v>
      </c>
      <c r="I127" s="39">
        <f t="shared" si="30"/>
        <v>0</v>
      </c>
      <c r="J127" s="39">
        <f t="shared" si="30"/>
        <v>0</v>
      </c>
      <c r="K127" s="39">
        <f t="shared" si="30"/>
        <v>0</v>
      </c>
      <c r="L127" s="39">
        <f t="shared" si="30"/>
        <v>0</v>
      </c>
      <c r="M127" s="39">
        <f t="shared" si="30"/>
        <v>0</v>
      </c>
      <c r="N127" s="39"/>
    </row>
    <row r="128" s="2" customFormat="1" ht="12.75" thickBot="1"/>
    <row r="129" spans="1:14" s="2" customFormat="1" ht="12">
      <c r="A129" s="8" t="s">
        <v>15</v>
      </c>
      <c r="B129" s="9">
        <f>+B127*0.11</f>
        <v>0</v>
      </c>
      <c r="C129" s="9">
        <f>+C127*0.11</f>
        <v>0</v>
      </c>
      <c r="D129" s="9">
        <f>+D127*0.11</f>
        <v>0</v>
      </c>
      <c r="E129" s="9">
        <f>+E127*0.11</f>
        <v>0</v>
      </c>
      <c r="F129" s="9">
        <f aca="true" t="shared" si="31" ref="F129:M129">+F127*0.11</f>
        <v>0</v>
      </c>
      <c r="G129" s="9">
        <f t="shared" si="31"/>
        <v>0</v>
      </c>
      <c r="H129" s="9">
        <f t="shared" si="31"/>
        <v>0</v>
      </c>
      <c r="I129" s="9">
        <f t="shared" si="31"/>
        <v>0</v>
      </c>
      <c r="J129" s="9">
        <f t="shared" si="31"/>
        <v>0</v>
      </c>
      <c r="K129" s="9">
        <f t="shared" si="31"/>
        <v>0</v>
      </c>
      <c r="L129" s="9">
        <f t="shared" si="31"/>
        <v>0</v>
      </c>
      <c r="M129" s="9">
        <f t="shared" si="31"/>
        <v>0</v>
      </c>
      <c r="N129" s="10">
        <f>+SUM(B129:M129)</f>
        <v>0</v>
      </c>
    </row>
    <row r="130" spans="1:16" s="2" customFormat="1" ht="12">
      <c r="A130" s="11" t="s">
        <v>19</v>
      </c>
      <c r="B130" s="12">
        <f>+B129/11*3</f>
        <v>0</v>
      </c>
      <c r="C130" s="12">
        <f>+C129/11*3</f>
        <v>0</v>
      </c>
      <c r="D130" s="12">
        <f>+D129/11*3</f>
        <v>0</v>
      </c>
      <c r="E130" s="12">
        <f>+E129/11*3</f>
        <v>0</v>
      </c>
      <c r="F130" s="12">
        <f aca="true" t="shared" si="32" ref="F130:M130">+F129/11*3</f>
        <v>0</v>
      </c>
      <c r="G130" s="12">
        <f t="shared" si="32"/>
        <v>0</v>
      </c>
      <c r="H130" s="12">
        <f t="shared" si="32"/>
        <v>0</v>
      </c>
      <c r="I130" s="12">
        <f t="shared" si="32"/>
        <v>0</v>
      </c>
      <c r="J130" s="12">
        <f t="shared" si="32"/>
        <v>0</v>
      </c>
      <c r="K130" s="12">
        <f t="shared" si="32"/>
        <v>0</v>
      </c>
      <c r="L130" s="12">
        <f t="shared" si="32"/>
        <v>0</v>
      </c>
      <c r="M130" s="12">
        <f t="shared" si="32"/>
        <v>0</v>
      </c>
      <c r="N130" s="13">
        <f>+SUM(B130:M130)</f>
        <v>0</v>
      </c>
      <c r="P130" s="6"/>
    </row>
    <row r="131" spans="1:14" s="2" customFormat="1" ht="12">
      <c r="A131" s="11" t="s">
        <v>20</v>
      </c>
      <c r="B131" s="12">
        <f>+B130</f>
        <v>0</v>
      </c>
      <c r="C131" s="12">
        <f>+C130</f>
        <v>0</v>
      </c>
      <c r="D131" s="12">
        <f>+D130</f>
        <v>0</v>
      </c>
      <c r="E131" s="12">
        <f>+E130</f>
        <v>0</v>
      </c>
      <c r="F131" s="12">
        <f aca="true" t="shared" si="33" ref="F131:M131">+F130</f>
        <v>0</v>
      </c>
      <c r="G131" s="12">
        <f t="shared" si="33"/>
        <v>0</v>
      </c>
      <c r="H131" s="12">
        <f t="shared" si="33"/>
        <v>0</v>
      </c>
      <c r="I131" s="12">
        <f t="shared" si="33"/>
        <v>0</v>
      </c>
      <c r="J131" s="12">
        <f t="shared" si="33"/>
        <v>0</v>
      </c>
      <c r="K131" s="12">
        <f t="shared" si="33"/>
        <v>0</v>
      </c>
      <c r="L131" s="12">
        <f t="shared" si="33"/>
        <v>0</v>
      </c>
      <c r="M131" s="12">
        <f t="shared" si="33"/>
        <v>0</v>
      </c>
      <c r="N131" s="13">
        <f>+SUM(B131:M131)</f>
        <v>0</v>
      </c>
    </row>
    <row r="132" spans="1:14" s="2" customFormat="1" ht="12">
      <c r="A132" s="11" t="s">
        <v>22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3">
        <f>+SUM(B132:M132)</f>
        <v>0</v>
      </c>
    </row>
    <row r="133" spans="1:14" s="2" customFormat="1" ht="12">
      <c r="A133" s="11" t="s">
        <v>21</v>
      </c>
      <c r="B133" s="12">
        <f>+B131/3*1</f>
        <v>0</v>
      </c>
      <c r="C133" s="12">
        <f aca="true" t="shared" si="34" ref="C133:M133">+C131/3*1</f>
        <v>0</v>
      </c>
      <c r="D133" s="12">
        <f t="shared" si="34"/>
        <v>0</v>
      </c>
      <c r="E133" s="12">
        <f t="shared" si="34"/>
        <v>0</v>
      </c>
      <c r="F133" s="12">
        <f t="shared" si="34"/>
        <v>0</v>
      </c>
      <c r="G133" s="12">
        <f t="shared" si="34"/>
        <v>0</v>
      </c>
      <c r="H133" s="12">
        <f t="shared" si="34"/>
        <v>0</v>
      </c>
      <c r="I133" s="12">
        <f t="shared" si="34"/>
        <v>0</v>
      </c>
      <c r="J133" s="12">
        <f t="shared" si="34"/>
        <v>0</v>
      </c>
      <c r="K133" s="12">
        <f t="shared" si="34"/>
        <v>0</v>
      </c>
      <c r="L133" s="12">
        <f t="shared" si="34"/>
        <v>0</v>
      </c>
      <c r="M133" s="12">
        <f t="shared" si="34"/>
        <v>0</v>
      </c>
      <c r="N133" s="13">
        <f>+SUM(B133:M133)</f>
        <v>0</v>
      </c>
    </row>
    <row r="134" spans="14:17" s="2" customFormat="1" ht="12">
      <c r="N134" s="6">
        <f>SUM(N129:N133)</f>
        <v>0</v>
      </c>
      <c r="Q134" s="6"/>
    </row>
    <row r="136" spans="1:14" s="2" customFormat="1" ht="12">
      <c r="A136" s="11" t="str">
        <f>+A8</f>
        <v>HORAS EXTRAS 100% EXCENTAS</v>
      </c>
      <c r="B136" s="12">
        <f>+B8*0.5</f>
        <v>0</v>
      </c>
      <c r="C136" s="12">
        <f>+C8*0.5</f>
        <v>0</v>
      </c>
      <c r="D136" s="12">
        <f>+D8*0.5</f>
        <v>0</v>
      </c>
      <c r="E136" s="12">
        <f>+E8*0.5</f>
        <v>0</v>
      </c>
      <c r="F136" s="12">
        <f aca="true" t="shared" si="35" ref="F136:M136">+F8*0.5</f>
        <v>0</v>
      </c>
      <c r="G136" s="12">
        <f t="shared" si="35"/>
        <v>0</v>
      </c>
      <c r="H136" s="12">
        <f t="shared" si="35"/>
        <v>0</v>
      </c>
      <c r="I136" s="12">
        <f t="shared" si="35"/>
        <v>0</v>
      </c>
      <c r="J136" s="12">
        <f t="shared" si="35"/>
        <v>0</v>
      </c>
      <c r="K136" s="12">
        <f t="shared" si="35"/>
        <v>0</v>
      </c>
      <c r="L136" s="12">
        <f t="shared" si="35"/>
        <v>0</v>
      </c>
      <c r="M136" s="12">
        <f t="shared" si="35"/>
        <v>0</v>
      </c>
      <c r="N136" s="13">
        <f>+SUM(B136:M136)</f>
        <v>0</v>
      </c>
    </row>
    <row r="137" spans="1:14" s="2" customFormat="1" ht="12">
      <c r="A137" s="11" t="str">
        <f>+A9</f>
        <v>HORAS EXTRAS 50% EXCENTAS</v>
      </c>
      <c r="B137" s="12">
        <f>+B9*0.666666667</f>
        <v>0</v>
      </c>
      <c r="C137" s="12">
        <f aca="true" t="shared" si="36" ref="C137:M137">+C9*0.666666667</f>
        <v>0</v>
      </c>
      <c r="D137" s="12">
        <f t="shared" si="36"/>
        <v>0</v>
      </c>
      <c r="E137" s="12">
        <f t="shared" si="36"/>
        <v>0</v>
      </c>
      <c r="F137" s="12">
        <f t="shared" si="36"/>
        <v>0</v>
      </c>
      <c r="G137" s="12">
        <f t="shared" si="36"/>
        <v>0</v>
      </c>
      <c r="H137" s="12">
        <f t="shared" si="36"/>
        <v>0</v>
      </c>
      <c r="I137" s="12">
        <f t="shared" si="36"/>
        <v>0</v>
      </c>
      <c r="J137" s="12">
        <f t="shared" si="36"/>
        <v>0</v>
      </c>
      <c r="K137" s="12">
        <f t="shared" si="36"/>
        <v>0</v>
      </c>
      <c r="L137" s="12">
        <f t="shared" si="36"/>
        <v>0</v>
      </c>
      <c r="M137" s="12">
        <f t="shared" si="36"/>
        <v>0</v>
      </c>
      <c r="N137" s="13">
        <f>+SUM(B137:M137)</f>
        <v>0</v>
      </c>
    </row>
    <row r="138" spans="1:14" s="2" customFormat="1" ht="12">
      <c r="A138" s="11" t="str">
        <f>+A10</f>
        <v>HORAS EXTRAS 50%</v>
      </c>
      <c r="B138" s="12">
        <f aca="true" t="shared" si="37" ref="B138:M138">+B10</f>
        <v>0</v>
      </c>
      <c r="C138" s="12">
        <f t="shared" si="37"/>
        <v>0</v>
      </c>
      <c r="D138" s="12">
        <f t="shared" si="37"/>
        <v>0</v>
      </c>
      <c r="E138" s="12">
        <f t="shared" si="37"/>
        <v>0</v>
      </c>
      <c r="F138" s="12">
        <f t="shared" si="37"/>
        <v>0</v>
      </c>
      <c r="G138" s="12">
        <f t="shared" si="37"/>
        <v>0</v>
      </c>
      <c r="H138" s="12">
        <f t="shared" si="37"/>
        <v>0</v>
      </c>
      <c r="I138" s="12">
        <f t="shared" si="37"/>
        <v>0</v>
      </c>
      <c r="J138" s="12">
        <f t="shared" si="37"/>
        <v>0</v>
      </c>
      <c r="K138" s="12">
        <f t="shared" si="37"/>
        <v>0</v>
      </c>
      <c r="L138" s="12">
        <f t="shared" si="37"/>
        <v>0</v>
      </c>
      <c r="M138" s="12">
        <f t="shared" si="37"/>
        <v>0</v>
      </c>
      <c r="N138" s="13">
        <f>+SUM(B138:M138)</f>
        <v>0</v>
      </c>
    </row>
    <row r="139" spans="1:14" s="2" customFormat="1" ht="12.75" thickBot="1">
      <c r="A139" s="57" t="s">
        <v>115</v>
      </c>
      <c r="B139" s="39">
        <f>+SUM(B136:B138)</f>
        <v>0</v>
      </c>
      <c r="C139" s="39">
        <f aca="true" t="shared" si="38" ref="C139:M139">+SUM(C136:C138)</f>
        <v>0</v>
      </c>
      <c r="D139" s="39">
        <f t="shared" si="38"/>
        <v>0</v>
      </c>
      <c r="E139" s="39">
        <f t="shared" si="38"/>
        <v>0</v>
      </c>
      <c r="F139" s="39">
        <f t="shared" si="38"/>
        <v>0</v>
      </c>
      <c r="G139" s="39">
        <f t="shared" si="38"/>
        <v>0</v>
      </c>
      <c r="H139" s="39">
        <f t="shared" si="38"/>
        <v>0</v>
      </c>
      <c r="I139" s="39">
        <f t="shared" si="38"/>
        <v>0</v>
      </c>
      <c r="J139" s="39">
        <f t="shared" si="38"/>
        <v>0</v>
      </c>
      <c r="K139" s="39">
        <f t="shared" si="38"/>
        <v>0</v>
      </c>
      <c r="L139" s="39">
        <f t="shared" si="38"/>
        <v>0</v>
      </c>
      <c r="M139" s="39">
        <f t="shared" si="38"/>
        <v>0</v>
      </c>
      <c r="N139" s="39">
        <f>+SUM(N136:N138)</f>
        <v>0</v>
      </c>
    </row>
    <row r="140" spans="1:14" s="2" customFormat="1" ht="12">
      <c r="A140" s="8" t="s">
        <v>15</v>
      </c>
      <c r="B140" s="9">
        <f>+B139*0.11</f>
        <v>0</v>
      </c>
      <c r="C140" s="9">
        <f>+C139*0.11</f>
        <v>0</v>
      </c>
      <c r="D140" s="9">
        <f>+D139*0.11</f>
        <v>0</v>
      </c>
      <c r="E140" s="9">
        <f>+E139*0.11</f>
        <v>0</v>
      </c>
      <c r="F140" s="9">
        <f aca="true" t="shared" si="39" ref="F140:M140">+F139*0.11</f>
        <v>0</v>
      </c>
      <c r="G140" s="9">
        <f t="shared" si="39"/>
        <v>0</v>
      </c>
      <c r="H140" s="9">
        <f t="shared" si="39"/>
        <v>0</v>
      </c>
      <c r="I140" s="9">
        <f t="shared" si="39"/>
        <v>0</v>
      </c>
      <c r="J140" s="9">
        <f t="shared" si="39"/>
        <v>0</v>
      </c>
      <c r="K140" s="9">
        <f t="shared" si="39"/>
        <v>0</v>
      </c>
      <c r="L140" s="9">
        <f t="shared" si="39"/>
        <v>0</v>
      </c>
      <c r="M140" s="9">
        <f t="shared" si="39"/>
        <v>0</v>
      </c>
      <c r="N140" s="10">
        <f>+SUM(B140:M140)</f>
        <v>0</v>
      </c>
    </row>
    <row r="141" spans="1:14" s="2" customFormat="1" ht="12">
      <c r="A141" s="11" t="s">
        <v>19</v>
      </c>
      <c r="B141" s="12">
        <f>+B140/11*3</f>
        <v>0</v>
      </c>
      <c r="C141" s="12">
        <f>+C140/11*3</f>
        <v>0</v>
      </c>
      <c r="D141" s="12">
        <f>+D140/11*3</f>
        <v>0</v>
      </c>
      <c r="E141" s="12">
        <f>+E140/11*3</f>
        <v>0</v>
      </c>
      <c r="F141" s="12">
        <f aca="true" t="shared" si="40" ref="F141:M141">+F140/11*3</f>
        <v>0</v>
      </c>
      <c r="G141" s="12">
        <f t="shared" si="40"/>
        <v>0</v>
      </c>
      <c r="H141" s="12">
        <f t="shared" si="40"/>
        <v>0</v>
      </c>
      <c r="I141" s="12">
        <f t="shared" si="40"/>
        <v>0</v>
      </c>
      <c r="J141" s="12">
        <f t="shared" si="40"/>
        <v>0</v>
      </c>
      <c r="K141" s="12">
        <f t="shared" si="40"/>
        <v>0</v>
      </c>
      <c r="L141" s="12">
        <f t="shared" si="40"/>
        <v>0</v>
      </c>
      <c r="M141" s="12">
        <f t="shared" si="40"/>
        <v>0</v>
      </c>
      <c r="N141" s="13">
        <f>+SUM(B141:M141)</f>
        <v>0</v>
      </c>
    </row>
    <row r="142" spans="1:14" s="2" customFormat="1" ht="12">
      <c r="A142" s="11" t="s">
        <v>20</v>
      </c>
      <c r="B142" s="12">
        <f>+B141</f>
        <v>0</v>
      </c>
      <c r="C142" s="12">
        <f>+C141</f>
        <v>0</v>
      </c>
      <c r="D142" s="12">
        <f>+D141</f>
        <v>0</v>
      </c>
      <c r="E142" s="12">
        <f>+E141</f>
        <v>0</v>
      </c>
      <c r="F142" s="12">
        <f aca="true" t="shared" si="41" ref="F142:M142">+F141</f>
        <v>0</v>
      </c>
      <c r="G142" s="12">
        <f t="shared" si="41"/>
        <v>0</v>
      </c>
      <c r="H142" s="12">
        <f t="shared" si="41"/>
        <v>0</v>
      </c>
      <c r="I142" s="12">
        <f t="shared" si="41"/>
        <v>0</v>
      </c>
      <c r="J142" s="12">
        <f t="shared" si="41"/>
        <v>0</v>
      </c>
      <c r="K142" s="12">
        <f t="shared" si="41"/>
        <v>0</v>
      </c>
      <c r="L142" s="12">
        <f t="shared" si="41"/>
        <v>0</v>
      </c>
      <c r="M142" s="12">
        <f t="shared" si="41"/>
        <v>0</v>
      </c>
      <c r="N142" s="13">
        <f>+SUM(B142:M142)</f>
        <v>0</v>
      </c>
    </row>
    <row r="143" spans="1:14" s="2" customFormat="1" ht="12">
      <c r="A143" s="11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3">
        <f>+SUM(B143:M143)</f>
        <v>0</v>
      </c>
    </row>
    <row r="144" spans="1:14" s="2" customFormat="1" ht="12">
      <c r="A144" s="11" t="s">
        <v>21</v>
      </c>
      <c r="B144" s="12">
        <f>+B142/3*1</f>
        <v>0</v>
      </c>
      <c r="C144" s="12">
        <f aca="true" t="shared" si="42" ref="C144:M144">+C142/3*1</f>
        <v>0</v>
      </c>
      <c r="D144" s="12">
        <f t="shared" si="42"/>
        <v>0</v>
      </c>
      <c r="E144" s="12">
        <f t="shared" si="42"/>
        <v>0</v>
      </c>
      <c r="F144" s="12">
        <f t="shared" si="42"/>
        <v>0</v>
      </c>
      <c r="G144" s="12">
        <f t="shared" si="42"/>
        <v>0</v>
      </c>
      <c r="H144" s="12">
        <f t="shared" si="42"/>
        <v>0</v>
      </c>
      <c r="I144" s="12">
        <f t="shared" si="42"/>
        <v>0</v>
      </c>
      <c r="J144" s="12">
        <f t="shared" si="42"/>
        <v>0</v>
      </c>
      <c r="K144" s="12">
        <f t="shared" si="42"/>
        <v>0</v>
      </c>
      <c r="L144" s="12">
        <f t="shared" si="42"/>
        <v>0</v>
      </c>
      <c r="M144" s="12">
        <f t="shared" si="42"/>
        <v>0</v>
      </c>
      <c r="N144" s="13">
        <f>+SUM(B144:M144)</f>
        <v>0</v>
      </c>
    </row>
    <row r="145" spans="1:14" s="2" customFormat="1" ht="12">
      <c r="A145" s="2" t="s">
        <v>114</v>
      </c>
      <c r="B145" s="6">
        <f>+B139-B140-B141-B142-B143-B144</f>
        <v>0</v>
      </c>
      <c r="C145" s="6">
        <f>+C139-C140-C141-C142-C143-C144</f>
        <v>0</v>
      </c>
      <c r="D145" s="6">
        <f>+D139-D140-D141-D142-D143-D144</f>
        <v>0</v>
      </c>
      <c r="E145" s="6">
        <f aca="true" t="shared" si="43" ref="E145:M145">+E139-E140-E141-E142-E143-E144</f>
        <v>0</v>
      </c>
      <c r="F145" s="6">
        <f t="shared" si="43"/>
        <v>0</v>
      </c>
      <c r="G145" s="6">
        <f t="shared" si="43"/>
        <v>0</v>
      </c>
      <c r="H145" s="6">
        <f t="shared" si="43"/>
        <v>0</v>
      </c>
      <c r="I145" s="6">
        <f t="shared" si="43"/>
        <v>0</v>
      </c>
      <c r="J145" s="6">
        <f t="shared" si="43"/>
        <v>0</v>
      </c>
      <c r="K145" s="6">
        <f t="shared" si="43"/>
        <v>0</v>
      </c>
      <c r="L145" s="6">
        <f t="shared" si="43"/>
        <v>0</v>
      </c>
      <c r="M145" s="6">
        <f t="shared" si="43"/>
        <v>0</v>
      </c>
      <c r="N145" s="6">
        <f>+N139-N140-N141-N142-N143-N144</f>
        <v>0</v>
      </c>
    </row>
    <row r="146" ht="12">
      <c r="D146" s="6"/>
    </row>
    <row r="147" ht="12">
      <c r="N147" s="6"/>
    </row>
    <row r="148" ht="12.75" thickBot="1">
      <c r="E148" s="56" t="s">
        <v>97</v>
      </c>
    </row>
    <row r="149" spans="1:17" ht="12.75" thickBot="1">
      <c r="A149" s="69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1"/>
    </row>
    <row r="150" spans="1:17" ht="12.75" thickBot="1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P150" s="72"/>
      <c r="Q150" s="72"/>
    </row>
    <row r="151" spans="1:17" ht="12.75" thickBot="1">
      <c r="A151" s="259" t="s">
        <v>129</v>
      </c>
      <c r="B151" s="260"/>
      <c r="C151" s="260"/>
      <c r="D151" s="260"/>
      <c r="E151" s="260"/>
      <c r="F151" s="260"/>
      <c r="G151" s="260"/>
      <c r="H151" s="260"/>
      <c r="I151" s="260"/>
      <c r="J151" s="260"/>
      <c r="K151" s="260"/>
      <c r="L151" s="260"/>
      <c r="M151" s="261"/>
      <c r="N151" s="72"/>
      <c r="P151" s="72"/>
      <c r="Q151" s="72"/>
    </row>
    <row r="152" spans="1:17" ht="12.75" thickBot="1">
      <c r="A152" s="73"/>
      <c r="B152" s="73">
        <v>1</v>
      </c>
      <c r="C152" s="73">
        <v>2</v>
      </c>
      <c r="D152" s="73">
        <v>3</v>
      </c>
      <c r="E152" s="73">
        <v>4</v>
      </c>
      <c r="F152" s="73">
        <v>5</v>
      </c>
      <c r="G152" s="73">
        <v>6</v>
      </c>
      <c r="H152" s="73">
        <v>7</v>
      </c>
      <c r="I152" s="73">
        <v>8</v>
      </c>
      <c r="J152" s="73">
        <v>9</v>
      </c>
      <c r="K152" s="73">
        <v>10</v>
      </c>
      <c r="L152" s="73">
        <v>11</v>
      </c>
      <c r="M152" s="73">
        <v>12</v>
      </c>
      <c r="N152" s="72"/>
      <c r="P152" s="72"/>
      <c r="Q152" s="72"/>
    </row>
    <row r="153" spans="1:17" ht="12">
      <c r="A153" s="74" t="s">
        <v>96</v>
      </c>
      <c r="B153" s="75">
        <v>43101</v>
      </c>
      <c r="C153" s="75">
        <v>43132</v>
      </c>
      <c r="D153" s="75">
        <v>43160</v>
      </c>
      <c r="E153" s="75">
        <v>43191</v>
      </c>
      <c r="F153" s="75">
        <v>43221</v>
      </c>
      <c r="G153" s="75">
        <v>43252</v>
      </c>
      <c r="H153" s="75">
        <v>43282</v>
      </c>
      <c r="I153" s="75">
        <v>43313</v>
      </c>
      <c r="J153" s="75">
        <v>43344</v>
      </c>
      <c r="K153" s="75">
        <v>43374</v>
      </c>
      <c r="L153" s="75">
        <v>43405</v>
      </c>
      <c r="M153" s="75">
        <v>43435</v>
      </c>
      <c r="N153" s="72"/>
      <c r="P153" s="72"/>
      <c r="Q153" s="72"/>
    </row>
    <row r="154" spans="1:17" ht="15">
      <c r="A154" s="76" t="s">
        <v>35</v>
      </c>
      <c r="B154" s="95">
        <f>+ROUND($M154/12,4)*B$152</f>
        <v>7154.0825</v>
      </c>
      <c r="C154" s="95">
        <f>+ROUND($M154/12,4)*C$152</f>
        <v>14308.165</v>
      </c>
      <c r="D154" s="95">
        <f aca="true" t="shared" si="44" ref="D154:L164">+ROUND($M154/12,4)*D$152</f>
        <v>21462.2475</v>
      </c>
      <c r="E154" s="95">
        <f t="shared" si="44"/>
        <v>28616.33</v>
      </c>
      <c r="F154" s="95">
        <f t="shared" si="44"/>
        <v>35770.412500000006</v>
      </c>
      <c r="G154" s="95">
        <f t="shared" si="44"/>
        <v>42924.495</v>
      </c>
      <c r="H154" s="95">
        <f t="shared" si="44"/>
        <v>50078.5775</v>
      </c>
      <c r="I154" s="95">
        <f t="shared" si="44"/>
        <v>57232.66</v>
      </c>
      <c r="J154" s="95">
        <f t="shared" si="44"/>
        <v>64386.74250000001</v>
      </c>
      <c r="K154" s="95">
        <f t="shared" si="44"/>
        <v>71540.82500000001</v>
      </c>
      <c r="L154" s="95">
        <f t="shared" si="44"/>
        <v>78694.9075</v>
      </c>
      <c r="M154" s="100">
        <v>85848.99</v>
      </c>
      <c r="N154" s="72"/>
      <c r="P154" s="72"/>
      <c r="Q154" s="72"/>
    </row>
    <row r="155" spans="1:17" ht="15">
      <c r="A155" s="76" t="s">
        <v>36</v>
      </c>
      <c r="B155" s="95">
        <f aca="true" t="shared" si="45" ref="B155:C164">+ROUND($M155/12,4)*B$152</f>
        <v>6669.4975</v>
      </c>
      <c r="C155" s="95">
        <f t="shared" si="45"/>
        <v>13338.995</v>
      </c>
      <c r="D155" s="95">
        <f t="shared" si="44"/>
        <v>20008.4925</v>
      </c>
      <c r="E155" s="95">
        <f t="shared" si="44"/>
        <v>26677.99</v>
      </c>
      <c r="F155" s="95">
        <f t="shared" si="44"/>
        <v>33347.4875</v>
      </c>
      <c r="G155" s="95">
        <f t="shared" si="44"/>
        <v>40016.985</v>
      </c>
      <c r="H155" s="95">
        <f t="shared" si="44"/>
        <v>46686.482500000006</v>
      </c>
      <c r="I155" s="95">
        <f t="shared" si="44"/>
        <v>53355.98</v>
      </c>
      <c r="J155" s="95">
        <f t="shared" si="44"/>
        <v>60025.4775</v>
      </c>
      <c r="K155" s="95">
        <f t="shared" si="44"/>
        <v>66694.975</v>
      </c>
      <c r="L155" s="95">
        <f t="shared" si="44"/>
        <v>73364.4725</v>
      </c>
      <c r="M155" s="95">
        <v>80033.97</v>
      </c>
      <c r="N155" s="72"/>
      <c r="P155" s="72"/>
      <c r="Q155" s="72"/>
    </row>
    <row r="156" spans="1:17" ht="15">
      <c r="A156" s="76" t="s">
        <v>37</v>
      </c>
      <c r="B156" s="95">
        <f t="shared" si="45"/>
        <v>3363.4525</v>
      </c>
      <c r="C156" s="95">
        <f t="shared" si="45"/>
        <v>6726.905</v>
      </c>
      <c r="D156" s="95">
        <f t="shared" si="44"/>
        <v>10090.3575</v>
      </c>
      <c r="E156" s="95">
        <f t="shared" si="44"/>
        <v>13453.81</v>
      </c>
      <c r="F156" s="95">
        <f t="shared" si="44"/>
        <v>16817.2625</v>
      </c>
      <c r="G156" s="95">
        <f t="shared" si="44"/>
        <v>20180.715</v>
      </c>
      <c r="H156" s="95">
        <f t="shared" si="44"/>
        <v>23544.1675</v>
      </c>
      <c r="I156" s="95">
        <f t="shared" si="44"/>
        <v>26907.62</v>
      </c>
      <c r="J156" s="95">
        <f t="shared" si="44"/>
        <v>30271.0725</v>
      </c>
      <c r="K156" s="95">
        <f t="shared" si="44"/>
        <v>33634.525</v>
      </c>
      <c r="L156" s="95">
        <f t="shared" si="44"/>
        <v>36997.9775</v>
      </c>
      <c r="M156" s="95">
        <v>40361.43</v>
      </c>
      <c r="N156" s="72"/>
      <c r="P156" s="72"/>
      <c r="Q156" s="72"/>
    </row>
    <row r="157" spans="1:17" ht="15">
      <c r="A157" s="76" t="s">
        <v>38</v>
      </c>
      <c r="B157" s="95">
        <f t="shared" si="45"/>
        <v>34339.5958</v>
      </c>
      <c r="C157" s="95">
        <f t="shared" si="45"/>
        <v>68679.1916</v>
      </c>
      <c r="D157" s="95">
        <f t="shared" si="44"/>
        <v>103018.7874</v>
      </c>
      <c r="E157" s="95">
        <f t="shared" si="44"/>
        <v>137358.3832</v>
      </c>
      <c r="F157" s="95">
        <f t="shared" si="44"/>
        <v>171697.97900000002</v>
      </c>
      <c r="G157" s="95">
        <f t="shared" si="44"/>
        <v>206037.5748</v>
      </c>
      <c r="H157" s="95">
        <f t="shared" si="44"/>
        <v>240377.1706</v>
      </c>
      <c r="I157" s="95">
        <f t="shared" si="44"/>
        <v>274716.7664</v>
      </c>
      <c r="J157" s="95">
        <f t="shared" si="44"/>
        <v>309056.36220000003</v>
      </c>
      <c r="K157" s="95">
        <f t="shared" si="44"/>
        <v>343395.95800000004</v>
      </c>
      <c r="L157" s="95">
        <f t="shared" si="44"/>
        <v>377735.55380000005</v>
      </c>
      <c r="M157" s="95">
        <v>412075.15</v>
      </c>
      <c r="N157" s="72"/>
      <c r="P157" s="72"/>
      <c r="Q157" s="72"/>
    </row>
    <row r="158" spans="1:17" ht="15">
      <c r="A158" s="76" t="s">
        <v>39</v>
      </c>
      <c r="B158" s="95">
        <f t="shared" si="45"/>
        <v>7154.0825</v>
      </c>
      <c r="C158" s="95">
        <f t="shared" si="45"/>
        <v>14308.165</v>
      </c>
      <c r="D158" s="95">
        <f t="shared" si="44"/>
        <v>21462.2475</v>
      </c>
      <c r="E158" s="95">
        <f t="shared" si="44"/>
        <v>28616.33</v>
      </c>
      <c r="F158" s="95">
        <f t="shared" si="44"/>
        <v>35770.412500000006</v>
      </c>
      <c r="G158" s="95">
        <f t="shared" si="44"/>
        <v>42924.495</v>
      </c>
      <c r="H158" s="95">
        <f t="shared" si="44"/>
        <v>50078.5775</v>
      </c>
      <c r="I158" s="95">
        <f t="shared" si="44"/>
        <v>57232.66</v>
      </c>
      <c r="J158" s="95">
        <f t="shared" si="44"/>
        <v>64386.74250000001</v>
      </c>
      <c r="K158" s="95">
        <f t="shared" si="44"/>
        <v>71540.82500000001</v>
      </c>
      <c r="L158" s="95">
        <f t="shared" si="44"/>
        <v>78694.9075</v>
      </c>
      <c r="M158" s="95">
        <v>85848.99</v>
      </c>
      <c r="N158" s="72"/>
      <c r="P158" s="72"/>
      <c r="Q158" s="72"/>
    </row>
    <row r="159" spans="1:17" ht="15">
      <c r="A159" s="76" t="s">
        <v>40</v>
      </c>
      <c r="B159" s="95">
        <f t="shared" si="45"/>
        <v>83.01</v>
      </c>
      <c r="C159" s="95">
        <f t="shared" si="45"/>
        <v>166.02</v>
      </c>
      <c r="D159" s="95">
        <f t="shared" si="44"/>
        <v>249.03000000000003</v>
      </c>
      <c r="E159" s="95">
        <f t="shared" si="44"/>
        <v>332.04</v>
      </c>
      <c r="F159" s="95">
        <f t="shared" si="44"/>
        <v>415.05</v>
      </c>
      <c r="G159" s="95">
        <f t="shared" si="44"/>
        <v>498.06000000000006</v>
      </c>
      <c r="H159" s="95">
        <f t="shared" si="44"/>
        <v>581.07</v>
      </c>
      <c r="I159" s="95">
        <f t="shared" si="44"/>
        <v>664.08</v>
      </c>
      <c r="J159" s="95">
        <f t="shared" si="44"/>
        <v>747.09</v>
      </c>
      <c r="K159" s="95">
        <f t="shared" si="44"/>
        <v>830.1</v>
      </c>
      <c r="L159" s="95">
        <f t="shared" si="44"/>
        <v>913.11</v>
      </c>
      <c r="M159" s="95">
        <v>996.12</v>
      </c>
      <c r="N159" s="72"/>
      <c r="P159" s="72"/>
      <c r="Q159" s="72"/>
    </row>
    <row r="160" spans="1:17" ht="15">
      <c r="A160" s="76" t="s">
        <v>41</v>
      </c>
      <c r="B160" s="95">
        <f t="shared" si="45"/>
        <v>83.01</v>
      </c>
      <c r="C160" s="95">
        <f t="shared" si="45"/>
        <v>166.02</v>
      </c>
      <c r="D160" s="95">
        <f t="shared" si="44"/>
        <v>249.03000000000003</v>
      </c>
      <c r="E160" s="95">
        <f t="shared" si="44"/>
        <v>332.04</v>
      </c>
      <c r="F160" s="95">
        <f t="shared" si="44"/>
        <v>415.05</v>
      </c>
      <c r="G160" s="95">
        <f t="shared" si="44"/>
        <v>498.06000000000006</v>
      </c>
      <c r="H160" s="95">
        <f t="shared" si="44"/>
        <v>581.07</v>
      </c>
      <c r="I160" s="95">
        <f t="shared" si="44"/>
        <v>664.08</v>
      </c>
      <c r="J160" s="95">
        <f t="shared" si="44"/>
        <v>747.09</v>
      </c>
      <c r="K160" s="95">
        <f t="shared" si="44"/>
        <v>830.1</v>
      </c>
      <c r="L160" s="95">
        <f t="shared" si="44"/>
        <v>913.11</v>
      </c>
      <c r="M160" s="95">
        <v>996.12</v>
      </c>
      <c r="N160" s="72"/>
      <c r="P160" s="72"/>
      <c r="Q160" s="72"/>
    </row>
    <row r="161" spans="1:17" ht="15">
      <c r="A161" s="76" t="s">
        <v>42</v>
      </c>
      <c r="B161" s="95">
        <f t="shared" si="45"/>
        <v>1666.6667</v>
      </c>
      <c r="C161" s="95">
        <f t="shared" si="45"/>
        <v>3333.3334</v>
      </c>
      <c r="D161" s="95">
        <f t="shared" si="44"/>
        <v>5000.0001</v>
      </c>
      <c r="E161" s="95">
        <f t="shared" si="44"/>
        <v>6666.6668</v>
      </c>
      <c r="F161" s="95">
        <f t="shared" si="44"/>
        <v>8333.3335</v>
      </c>
      <c r="G161" s="95">
        <f t="shared" si="44"/>
        <v>10000.0002</v>
      </c>
      <c r="H161" s="95">
        <f t="shared" si="44"/>
        <v>11666.6669</v>
      </c>
      <c r="I161" s="95">
        <f t="shared" si="44"/>
        <v>13333.3336</v>
      </c>
      <c r="J161" s="95">
        <f t="shared" si="44"/>
        <v>15000.0003</v>
      </c>
      <c r="K161" s="95">
        <f t="shared" si="44"/>
        <v>16666.667</v>
      </c>
      <c r="L161" s="95">
        <f t="shared" si="44"/>
        <v>18333.3337</v>
      </c>
      <c r="M161" s="95">
        <v>20000</v>
      </c>
      <c r="N161" s="72"/>
      <c r="P161" s="72"/>
      <c r="Q161" s="72"/>
    </row>
    <row r="162" spans="1:17" ht="15">
      <c r="A162" s="76" t="s">
        <v>43</v>
      </c>
      <c r="B162" s="95">
        <f t="shared" si="45"/>
        <v>7154.0825</v>
      </c>
      <c r="C162" s="95">
        <f t="shared" si="45"/>
        <v>14308.165</v>
      </c>
      <c r="D162" s="95">
        <f t="shared" si="44"/>
        <v>21462.2475</v>
      </c>
      <c r="E162" s="95">
        <f t="shared" si="44"/>
        <v>28616.33</v>
      </c>
      <c r="F162" s="95">
        <f t="shared" si="44"/>
        <v>35770.412500000006</v>
      </c>
      <c r="G162" s="95">
        <f t="shared" si="44"/>
        <v>42924.495</v>
      </c>
      <c r="H162" s="95">
        <f t="shared" si="44"/>
        <v>50078.5775</v>
      </c>
      <c r="I162" s="95">
        <f t="shared" si="44"/>
        <v>57232.66</v>
      </c>
      <c r="J162" s="95">
        <f t="shared" si="44"/>
        <v>64386.74250000001</v>
      </c>
      <c r="K162" s="95">
        <f t="shared" si="44"/>
        <v>71540.82500000001</v>
      </c>
      <c r="L162" s="95">
        <f t="shared" si="44"/>
        <v>78694.9075</v>
      </c>
      <c r="M162" s="95">
        <v>85848.99</v>
      </c>
      <c r="N162" s="72"/>
      <c r="P162" s="72"/>
      <c r="Q162" s="72"/>
    </row>
    <row r="163" spans="1:17" ht="15">
      <c r="A163" s="76" t="s">
        <v>44</v>
      </c>
      <c r="B163" s="95" t="s">
        <v>45</v>
      </c>
      <c r="C163" s="95" t="s">
        <v>45</v>
      </c>
      <c r="D163" s="95" t="s">
        <v>45</v>
      </c>
      <c r="E163" s="95" t="s">
        <v>45</v>
      </c>
      <c r="F163" s="95" t="s">
        <v>45</v>
      </c>
      <c r="G163" s="95" t="s">
        <v>45</v>
      </c>
      <c r="H163" s="95" t="s">
        <v>45</v>
      </c>
      <c r="I163" s="95" t="s">
        <v>45</v>
      </c>
      <c r="J163" s="95" t="s">
        <v>45</v>
      </c>
      <c r="K163" s="95" t="s">
        <v>45</v>
      </c>
      <c r="L163" s="95" t="s">
        <v>45</v>
      </c>
      <c r="M163" s="95" t="s">
        <v>45</v>
      </c>
      <c r="N163" s="72"/>
      <c r="P163" s="72"/>
      <c r="Q163" s="72"/>
    </row>
    <row r="164" spans="1:17" ht="15">
      <c r="A164" s="76" t="s">
        <v>46</v>
      </c>
      <c r="B164" s="95">
        <f t="shared" si="45"/>
        <v>2861.633</v>
      </c>
      <c r="C164" s="95">
        <f t="shared" si="45"/>
        <v>5723.266</v>
      </c>
      <c r="D164" s="95">
        <f t="shared" si="44"/>
        <v>8584.899</v>
      </c>
      <c r="E164" s="95">
        <f t="shared" si="44"/>
        <v>11446.532</v>
      </c>
      <c r="F164" s="95">
        <f t="shared" si="44"/>
        <v>14308.164999999999</v>
      </c>
      <c r="G164" s="95">
        <f t="shared" si="44"/>
        <v>17169.798</v>
      </c>
      <c r="H164" s="95">
        <f t="shared" si="44"/>
        <v>20031.430999999997</v>
      </c>
      <c r="I164" s="95">
        <f t="shared" si="44"/>
        <v>22893.064</v>
      </c>
      <c r="J164" s="95">
        <f t="shared" si="44"/>
        <v>25754.697</v>
      </c>
      <c r="K164" s="95">
        <f t="shared" si="44"/>
        <v>28616.329999999998</v>
      </c>
      <c r="L164" s="95">
        <f t="shared" si="44"/>
        <v>31477.962999999996</v>
      </c>
      <c r="M164" s="95">
        <v>34339.596000000005</v>
      </c>
      <c r="N164" s="72"/>
      <c r="P164" s="72"/>
      <c r="Q164" s="72"/>
    </row>
    <row r="165" spans="1:17" ht="15">
      <c r="A165" s="76" t="s">
        <v>47</v>
      </c>
      <c r="B165" s="95" t="s">
        <v>45</v>
      </c>
      <c r="C165" s="95" t="s">
        <v>45</v>
      </c>
      <c r="D165" s="95" t="s">
        <v>45</v>
      </c>
      <c r="E165" s="95" t="s">
        <v>45</v>
      </c>
      <c r="F165" s="95" t="s">
        <v>45</v>
      </c>
      <c r="G165" s="95" t="s">
        <v>45</v>
      </c>
      <c r="H165" s="95" t="s">
        <v>45</v>
      </c>
      <c r="I165" s="95" t="s">
        <v>45</v>
      </c>
      <c r="J165" s="95" t="s">
        <v>45</v>
      </c>
      <c r="K165" s="95" t="s">
        <v>45</v>
      </c>
      <c r="L165" s="95" t="s">
        <v>45</v>
      </c>
      <c r="M165" s="95" t="s">
        <v>45</v>
      </c>
      <c r="N165" s="72"/>
      <c r="P165" s="72"/>
      <c r="Q165" s="72"/>
    </row>
    <row r="166" spans="1:17" ht="15">
      <c r="A166" s="76" t="s">
        <v>48</v>
      </c>
      <c r="B166" s="95" t="s">
        <v>49</v>
      </c>
      <c r="C166" s="95" t="s">
        <v>49</v>
      </c>
      <c r="D166" s="95" t="s">
        <v>49</v>
      </c>
      <c r="E166" s="95" t="s">
        <v>49</v>
      </c>
      <c r="F166" s="95" t="s">
        <v>49</v>
      </c>
      <c r="G166" s="95" t="s">
        <v>49</v>
      </c>
      <c r="H166" s="95" t="s">
        <v>49</v>
      </c>
      <c r="I166" s="95" t="s">
        <v>49</v>
      </c>
      <c r="J166" s="95" t="s">
        <v>49</v>
      </c>
      <c r="K166" s="95" t="s">
        <v>49</v>
      </c>
      <c r="L166" s="95" t="s">
        <v>49</v>
      </c>
      <c r="M166" s="95" t="s">
        <v>49</v>
      </c>
      <c r="N166" s="72"/>
      <c r="P166" s="72"/>
      <c r="Q166" s="72"/>
    </row>
    <row r="167" spans="1:17" ht="15">
      <c r="A167" s="76" t="s">
        <v>50</v>
      </c>
      <c r="B167" s="95" t="s">
        <v>49</v>
      </c>
      <c r="C167" s="95" t="s">
        <v>49</v>
      </c>
      <c r="D167" s="95" t="s">
        <v>49</v>
      </c>
      <c r="E167" s="95" t="s">
        <v>49</v>
      </c>
      <c r="F167" s="95" t="s">
        <v>49</v>
      </c>
      <c r="G167" s="95" t="s">
        <v>49</v>
      </c>
      <c r="H167" s="95" t="s">
        <v>49</v>
      </c>
      <c r="I167" s="95" t="s">
        <v>49</v>
      </c>
      <c r="J167" s="95" t="s">
        <v>49</v>
      </c>
      <c r="K167" s="95" t="s">
        <v>49</v>
      </c>
      <c r="L167" s="95" t="s">
        <v>49</v>
      </c>
      <c r="M167" s="95" t="s">
        <v>49</v>
      </c>
      <c r="N167" s="72"/>
      <c r="P167" s="72"/>
      <c r="Q167" s="72"/>
    </row>
    <row r="168" spans="1:17" ht="15.75" thickBot="1">
      <c r="A168" s="77" t="s">
        <v>51</v>
      </c>
      <c r="B168" s="95" t="s">
        <v>49</v>
      </c>
      <c r="C168" s="95" t="s">
        <v>49</v>
      </c>
      <c r="D168" s="95" t="s">
        <v>49</v>
      </c>
      <c r="E168" s="95" t="s">
        <v>49</v>
      </c>
      <c r="F168" s="95" t="s">
        <v>49</v>
      </c>
      <c r="G168" s="95" t="s">
        <v>49</v>
      </c>
      <c r="H168" s="95" t="s">
        <v>49</v>
      </c>
      <c r="I168" s="95" t="s">
        <v>49</v>
      </c>
      <c r="J168" s="95" t="s">
        <v>49</v>
      </c>
      <c r="K168" s="95" t="s">
        <v>49</v>
      </c>
      <c r="L168" s="95" t="s">
        <v>49</v>
      </c>
      <c r="M168" s="95" t="s">
        <v>49</v>
      </c>
      <c r="N168" s="72"/>
      <c r="P168" s="72"/>
      <c r="Q168" s="72"/>
    </row>
    <row r="169" spans="1:17" ht="12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P169" s="72"/>
      <c r="Q169" s="72"/>
    </row>
    <row r="170" spans="1:17" ht="12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P170" s="72"/>
      <c r="Q170" s="72"/>
    </row>
    <row r="171" spans="1:17" ht="12.75" thickBot="1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P171" s="72"/>
      <c r="Q171" s="72"/>
    </row>
    <row r="172" spans="1:17" ht="12">
      <c r="A172" s="72"/>
      <c r="B172" s="72"/>
      <c r="C172" s="72"/>
      <c r="D172" s="262" t="s">
        <v>88</v>
      </c>
      <c r="E172" s="263"/>
      <c r="F172" s="263"/>
      <c r="G172" s="263"/>
      <c r="H172" s="264"/>
      <c r="I172" s="72"/>
      <c r="J172" s="72"/>
      <c r="K172" s="72"/>
      <c r="L172" s="72"/>
      <c r="M172" s="72"/>
      <c r="N172" s="72"/>
      <c r="P172" s="72"/>
      <c r="Q172" s="72"/>
    </row>
    <row r="173" spans="1:17" ht="12">
      <c r="A173" s="72"/>
      <c r="B173" s="72"/>
      <c r="C173" s="72"/>
      <c r="D173" s="78" t="s">
        <v>52</v>
      </c>
      <c r="E173" s="79" t="s">
        <v>53</v>
      </c>
      <c r="F173" s="79" t="s">
        <v>54</v>
      </c>
      <c r="G173" s="79" t="s">
        <v>55</v>
      </c>
      <c r="H173" s="80" t="s">
        <v>56</v>
      </c>
      <c r="I173" s="72"/>
      <c r="J173" s="72"/>
      <c r="K173" s="72"/>
      <c r="L173" s="72"/>
      <c r="M173" s="72"/>
      <c r="N173" s="72"/>
      <c r="P173" s="72"/>
      <c r="Q173" s="72"/>
    </row>
    <row r="174" spans="1:17" ht="15">
      <c r="A174" s="72"/>
      <c r="B174" s="72"/>
      <c r="C174" s="72"/>
      <c r="D174" s="94">
        <v>0</v>
      </c>
      <c r="E174" s="101">
        <v>33039.81</v>
      </c>
      <c r="F174" s="94">
        <v>0</v>
      </c>
      <c r="G174" s="94">
        <v>5</v>
      </c>
      <c r="H174" s="94">
        <v>0</v>
      </c>
      <c r="I174" s="130">
        <f>+'2018'!E175</f>
        <v>25754</v>
      </c>
      <c r="J174" s="130">
        <f>+E174-I174</f>
        <v>7285.809999999998</v>
      </c>
      <c r="K174" s="72"/>
      <c r="L174" s="72"/>
      <c r="M174" s="72"/>
      <c r="N174" s="72"/>
      <c r="P174" s="72"/>
      <c r="Q174" s="72"/>
    </row>
    <row r="175" spans="1:17" ht="15">
      <c r="A175" s="72"/>
      <c r="B175" s="72"/>
      <c r="C175" s="72"/>
      <c r="D175" s="94">
        <f>+E174</f>
        <v>33039.81</v>
      </c>
      <c r="E175" s="94">
        <f>+D175+E174</f>
        <v>66079.62</v>
      </c>
      <c r="F175" s="94">
        <f>+ROUND(E174*G174/100,0)</f>
        <v>1652</v>
      </c>
      <c r="G175" s="94">
        <v>9</v>
      </c>
      <c r="H175" s="94">
        <f>+E174</f>
        <v>33039.81</v>
      </c>
      <c r="I175" s="72"/>
      <c r="J175" s="72"/>
      <c r="K175" s="72"/>
      <c r="L175" s="72"/>
      <c r="M175" s="72"/>
      <c r="N175" s="72"/>
      <c r="P175" s="72"/>
      <c r="Q175" s="72"/>
    </row>
    <row r="176" spans="1:17" ht="15">
      <c r="A176" s="72"/>
      <c r="B176" s="72"/>
      <c r="C176" s="72"/>
      <c r="D176" s="94">
        <f aca="true" t="shared" si="46" ref="D176:D182">+E175</f>
        <v>66079.62</v>
      </c>
      <c r="E176" s="94">
        <f>+D176+E174</f>
        <v>99119.43</v>
      </c>
      <c r="F176" s="94">
        <f>+ROUND(E174*G175/100,0)+F175</f>
        <v>4626</v>
      </c>
      <c r="G176" s="94">
        <v>12</v>
      </c>
      <c r="H176" s="94">
        <f aca="true" t="shared" si="47" ref="H176:H182">+E175</f>
        <v>66079.62</v>
      </c>
      <c r="I176" s="72"/>
      <c r="J176" s="72"/>
      <c r="K176" s="72"/>
      <c r="L176" s="72"/>
      <c r="M176" s="72"/>
      <c r="N176" s="72"/>
      <c r="P176" s="72"/>
      <c r="Q176" s="72"/>
    </row>
    <row r="177" spans="1:17" ht="15">
      <c r="A177" s="72"/>
      <c r="B177" s="72"/>
      <c r="C177" s="72"/>
      <c r="D177" s="94">
        <f t="shared" si="46"/>
        <v>99119.43</v>
      </c>
      <c r="E177" s="94">
        <f>+D177+E174</f>
        <v>132159.24</v>
      </c>
      <c r="F177" s="94">
        <f>+ROUND(E174*G176/100,0)+F176</f>
        <v>8591</v>
      </c>
      <c r="G177" s="94">
        <v>15</v>
      </c>
      <c r="H177" s="94">
        <f t="shared" si="47"/>
        <v>99119.43</v>
      </c>
      <c r="I177" s="72"/>
      <c r="J177" s="72"/>
      <c r="K177" s="72"/>
      <c r="L177" s="72"/>
      <c r="M177" s="72"/>
      <c r="N177" s="72"/>
      <c r="P177" s="72"/>
      <c r="Q177" s="72"/>
    </row>
    <row r="178" spans="1:17" ht="15">
      <c r="A178" s="72"/>
      <c r="B178" s="72"/>
      <c r="C178" s="72"/>
      <c r="D178" s="94">
        <f t="shared" si="46"/>
        <v>132159.24</v>
      </c>
      <c r="E178" s="94">
        <f>+D178+E175</f>
        <v>198238.86</v>
      </c>
      <c r="F178" s="94">
        <f>+ROUND(E174*G177/100,0)+F177</f>
        <v>13547</v>
      </c>
      <c r="G178" s="94">
        <v>19</v>
      </c>
      <c r="H178" s="94">
        <f t="shared" si="47"/>
        <v>132159.24</v>
      </c>
      <c r="I178" s="72"/>
      <c r="J178" s="72"/>
      <c r="K178" s="72"/>
      <c r="L178" s="72"/>
      <c r="M178" s="72"/>
      <c r="N178" s="72"/>
      <c r="P178" s="72"/>
      <c r="Q178" s="72"/>
    </row>
    <row r="179" spans="1:17" ht="15">
      <c r="A179" s="72"/>
      <c r="B179" s="72"/>
      <c r="C179" s="72"/>
      <c r="D179" s="94">
        <f t="shared" si="46"/>
        <v>198238.86</v>
      </c>
      <c r="E179" s="94">
        <f>+D179+E175</f>
        <v>264318.48</v>
      </c>
      <c r="F179" s="94">
        <f>+ROUND(E175*G178/100,0)+F178</f>
        <v>26102</v>
      </c>
      <c r="G179" s="94">
        <v>23</v>
      </c>
      <c r="H179" s="94">
        <f t="shared" si="47"/>
        <v>198238.86</v>
      </c>
      <c r="I179" s="72"/>
      <c r="J179" s="72"/>
      <c r="K179" s="72"/>
      <c r="L179" s="72"/>
      <c r="M179" s="72"/>
      <c r="N179" s="72"/>
      <c r="P179" s="72"/>
      <c r="Q179" s="72"/>
    </row>
    <row r="180" spans="1:17" ht="15">
      <c r="A180" s="72"/>
      <c r="B180" s="72"/>
      <c r="C180" s="72"/>
      <c r="D180" s="94">
        <f t="shared" si="46"/>
        <v>264318.48</v>
      </c>
      <c r="E180" s="94">
        <f>+D180+E177</f>
        <v>396477.72</v>
      </c>
      <c r="F180" s="94">
        <f>+ROUND(E175*G179/100,0)+F179</f>
        <v>41300</v>
      </c>
      <c r="G180" s="94">
        <v>27</v>
      </c>
      <c r="H180" s="94">
        <f t="shared" si="47"/>
        <v>264318.48</v>
      </c>
      <c r="I180" s="72"/>
      <c r="J180" s="72"/>
      <c r="K180" s="72"/>
      <c r="L180" s="72"/>
      <c r="M180" s="72"/>
      <c r="N180" s="72"/>
      <c r="P180" s="72"/>
      <c r="Q180" s="72"/>
    </row>
    <row r="181" spans="1:17" ht="15">
      <c r="A181" s="72"/>
      <c r="B181" s="72"/>
      <c r="C181" s="72"/>
      <c r="D181" s="94">
        <f t="shared" si="46"/>
        <v>396477.72</v>
      </c>
      <c r="E181" s="94">
        <f>+D181+E177</f>
        <v>528636.96</v>
      </c>
      <c r="F181" s="94">
        <f>+ROUND(E177*G180/100,0)+F180</f>
        <v>76983</v>
      </c>
      <c r="G181" s="94">
        <v>31</v>
      </c>
      <c r="H181" s="94">
        <f t="shared" si="47"/>
        <v>396477.72</v>
      </c>
      <c r="I181" s="72"/>
      <c r="J181" s="72"/>
      <c r="K181" s="72"/>
      <c r="L181" s="72"/>
      <c r="M181" s="72"/>
      <c r="N181" s="72"/>
      <c r="P181" s="72"/>
      <c r="Q181" s="72"/>
    </row>
    <row r="182" spans="1:17" ht="15">
      <c r="A182" s="72"/>
      <c r="B182" s="72"/>
      <c r="C182" s="72"/>
      <c r="D182" s="94">
        <f t="shared" si="46"/>
        <v>528636.96</v>
      </c>
      <c r="E182" s="94">
        <v>999999999</v>
      </c>
      <c r="F182" s="94">
        <f>+ROUND(E177*G181/100,0)+F181</f>
        <v>117952</v>
      </c>
      <c r="G182" s="94">
        <v>35</v>
      </c>
      <c r="H182" s="94">
        <f t="shared" si="47"/>
        <v>528636.96</v>
      </c>
      <c r="I182" s="72"/>
      <c r="J182" s="72"/>
      <c r="K182" s="72"/>
      <c r="L182" s="72"/>
      <c r="M182" s="72"/>
      <c r="N182" s="72"/>
      <c r="P182" s="72"/>
      <c r="Q182" s="72"/>
    </row>
    <row r="183" spans="1:17" ht="12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P183" s="72"/>
      <c r="Q183" s="72"/>
    </row>
    <row r="184" spans="1:17" ht="12.75" thickBot="1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P184" s="72"/>
      <c r="Q184" s="72"/>
    </row>
    <row r="185" spans="1:17" ht="12">
      <c r="A185" s="83" t="s">
        <v>87</v>
      </c>
      <c r="B185" s="84">
        <v>12</v>
      </c>
      <c r="C185" s="84">
        <v>11</v>
      </c>
      <c r="D185" s="84">
        <v>10</v>
      </c>
      <c r="E185" s="84">
        <v>9</v>
      </c>
      <c r="F185" s="84">
        <v>8</v>
      </c>
      <c r="G185" s="84">
        <v>7</v>
      </c>
      <c r="H185" s="84">
        <v>6</v>
      </c>
      <c r="I185" s="84">
        <v>5</v>
      </c>
      <c r="J185" s="84">
        <v>4</v>
      </c>
      <c r="K185" s="84">
        <v>3</v>
      </c>
      <c r="L185" s="84">
        <v>2</v>
      </c>
      <c r="M185" s="84">
        <v>1</v>
      </c>
      <c r="N185" s="85"/>
      <c r="P185" s="72"/>
      <c r="Q185" s="72"/>
    </row>
    <row r="186" spans="1:17" ht="12.75" thickBot="1">
      <c r="A186" s="86"/>
      <c r="B186" s="87">
        <f>12-B185</f>
        <v>0</v>
      </c>
      <c r="C186" s="87">
        <f aca="true" t="shared" si="48" ref="C186:M186">12-C185</f>
        <v>1</v>
      </c>
      <c r="D186" s="87">
        <f t="shared" si="48"/>
        <v>2</v>
      </c>
      <c r="E186" s="87">
        <f t="shared" si="48"/>
        <v>3</v>
      </c>
      <c r="F186" s="87">
        <f t="shared" si="48"/>
        <v>4</v>
      </c>
      <c r="G186" s="87">
        <f t="shared" si="48"/>
        <v>5</v>
      </c>
      <c r="H186" s="87">
        <f t="shared" si="48"/>
        <v>6</v>
      </c>
      <c r="I186" s="87">
        <f t="shared" si="48"/>
        <v>7</v>
      </c>
      <c r="J186" s="87">
        <f t="shared" si="48"/>
        <v>8</v>
      </c>
      <c r="K186" s="87">
        <f t="shared" si="48"/>
        <v>9</v>
      </c>
      <c r="L186" s="87">
        <f t="shared" si="48"/>
        <v>10</v>
      </c>
      <c r="M186" s="87">
        <f t="shared" si="48"/>
        <v>11</v>
      </c>
      <c r="N186" s="88"/>
      <c r="P186" s="72"/>
      <c r="Q186" s="72"/>
    </row>
    <row r="187" spans="1:17" ht="12">
      <c r="A187" s="74" t="s">
        <v>95</v>
      </c>
      <c r="B187" s="74" t="str">
        <f>+B5</f>
        <v>Enero</v>
      </c>
      <c r="C187" s="74" t="str">
        <f aca="true" t="shared" si="49" ref="C187:M187">+C5</f>
        <v>Febrero</v>
      </c>
      <c r="D187" s="74" t="str">
        <f t="shared" si="49"/>
        <v>Marzo</v>
      </c>
      <c r="E187" s="74" t="str">
        <f t="shared" si="49"/>
        <v>Abril</v>
      </c>
      <c r="F187" s="74" t="str">
        <f t="shared" si="49"/>
        <v>Mayo</v>
      </c>
      <c r="G187" s="74" t="str">
        <f t="shared" si="49"/>
        <v>Junio</v>
      </c>
      <c r="H187" s="74" t="str">
        <f t="shared" si="49"/>
        <v>Julio</v>
      </c>
      <c r="I187" s="74" t="str">
        <f t="shared" si="49"/>
        <v>Agosto</v>
      </c>
      <c r="J187" s="74" t="str">
        <f t="shared" si="49"/>
        <v>Septiembre</v>
      </c>
      <c r="K187" s="74" t="str">
        <f t="shared" si="49"/>
        <v>Octubre</v>
      </c>
      <c r="L187" s="74" t="str">
        <f t="shared" si="49"/>
        <v>Noviembre</v>
      </c>
      <c r="M187" s="74" t="str">
        <f t="shared" si="49"/>
        <v>Diciembre</v>
      </c>
      <c r="N187" s="74" t="s">
        <v>61</v>
      </c>
      <c r="P187" s="72"/>
      <c r="Q187" s="72"/>
    </row>
    <row r="188" spans="1:17" ht="12">
      <c r="A188" s="81" t="s">
        <v>23</v>
      </c>
      <c r="B188" s="81">
        <f>+ROUND(IF($E$1&gt;B$186,(B15)/B$185*($E$1-B$186),0),2)</f>
        <v>0</v>
      </c>
      <c r="C188" s="81">
        <f>+ROUND(IF($E$1&gt;C$186,(C15)/C$185*($E$1-C$186),0),2)</f>
        <v>0</v>
      </c>
      <c r="D188" s="81">
        <f>+ROUND(IF($E$1&gt;D$186,(D15)/D$185*($E$1-D$186),0),2)</f>
        <v>0</v>
      </c>
      <c r="E188" s="81">
        <f aca="true" t="shared" si="50" ref="E188:M188">+ROUND(IF($E$1&gt;E$186,(E15)/E$185*($E$1-E$186),0),2)</f>
        <v>0</v>
      </c>
      <c r="F188" s="81">
        <f t="shared" si="50"/>
        <v>0</v>
      </c>
      <c r="G188" s="81">
        <f t="shared" si="50"/>
        <v>0</v>
      </c>
      <c r="H188" s="81">
        <f t="shared" si="50"/>
        <v>0</v>
      </c>
      <c r="I188" s="81">
        <f t="shared" si="50"/>
        <v>0</v>
      </c>
      <c r="J188" s="81">
        <f t="shared" si="50"/>
        <v>0</v>
      </c>
      <c r="K188" s="81">
        <f t="shared" si="50"/>
        <v>0</v>
      </c>
      <c r="L188" s="81">
        <f t="shared" si="50"/>
        <v>0</v>
      </c>
      <c r="M188" s="81">
        <f t="shared" si="50"/>
        <v>0</v>
      </c>
      <c r="N188" s="81">
        <f>+SUM(B188:M188)</f>
        <v>0</v>
      </c>
      <c r="P188" s="72"/>
      <c r="Q188" s="72"/>
    </row>
    <row r="189" spans="1:17" ht="12.75" thickBot="1">
      <c r="A189" s="82" t="s">
        <v>24</v>
      </c>
      <c r="B189" s="82">
        <f aca="true" t="shared" si="51" ref="B189:M189">+ROUND(IF($E$1&gt;B$186,B16/B$185*($E$1-B$186),0),2)</f>
        <v>0</v>
      </c>
      <c r="C189" s="82">
        <f t="shared" si="51"/>
        <v>0</v>
      </c>
      <c r="D189" s="82">
        <f t="shared" si="51"/>
        <v>0</v>
      </c>
      <c r="E189" s="82">
        <f t="shared" si="51"/>
        <v>0</v>
      </c>
      <c r="F189" s="82">
        <f t="shared" si="51"/>
        <v>0</v>
      </c>
      <c r="G189" s="82">
        <f t="shared" si="51"/>
        <v>0</v>
      </c>
      <c r="H189" s="82">
        <f t="shared" si="51"/>
        <v>0</v>
      </c>
      <c r="I189" s="82">
        <f t="shared" si="51"/>
        <v>0</v>
      </c>
      <c r="J189" s="82">
        <f t="shared" si="51"/>
        <v>0</v>
      </c>
      <c r="K189" s="82">
        <f t="shared" si="51"/>
        <v>0</v>
      </c>
      <c r="L189" s="82">
        <f t="shared" si="51"/>
        <v>0</v>
      </c>
      <c r="M189" s="82">
        <f t="shared" si="51"/>
        <v>0</v>
      </c>
      <c r="N189" s="82">
        <f>+SUM(B189:M189)</f>
        <v>0</v>
      </c>
      <c r="P189" s="72"/>
      <c r="Q189" s="72"/>
    </row>
    <row r="190" spans="1:17" ht="12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</row>
    <row r="191" spans="1:17" ht="12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</row>
  </sheetData>
  <sheetProtection/>
  <mergeCells count="59">
    <mergeCell ref="I116:K116"/>
    <mergeCell ref="I117:K117"/>
    <mergeCell ref="I118:K118"/>
    <mergeCell ref="A151:M151"/>
    <mergeCell ref="D172:H172"/>
    <mergeCell ref="I108:M108"/>
    <mergeCell ref="A110:B110"/>
    <mergeCell ref="I110:M110"/>
    <mergeCell ref="I111:M111"/>
    <mergeCell ref="I112:M112"/>
    <mergeCell ref="I114:M114"/>
    <mergeCell ref="I99:M99"/>
    <mergeCell ref="I100:M100"/>
    <mergeCell ref="I102:M102"/>
    <mergeCell ref="I104:M104"/>
    <mergeCell ref="I105:M105"/>
    <mergeCell ref="I106:M106"/>
    <mergeCell ref="I91:M91"/>
    <mergeCell ref="I92:M92"/>
    <mergeCell ref="I94:M94"/>
    <mergeCell ref="I96:K96"/>
    <mergeCell ref="I97:M97"/>
    <mergeCell ref="I98:M98"/>
    <mergeCell ref="I85:M85"/>
    <mergeCell ref="I86:M86"/>
    <mergeCell ref="I87:M87"/>
    <mergeCell ref="I88:M88"/>
    <mergeCell ref="I89:M89"/>
    <mergeCell ref="I90:M90"/>
    <mergeCell ref="I77:K77"/>
    <mergeCell ref="I78:K78"/>
    <mergeCell ref="I79:K79"/>
    <mergeCell ref="I80:K80"/>
    <mergeCell ref="I82:K82"/>
    <mergeCell ref="I84:M84"/>
    <mergeCell ref="I70:K70"/>
    <mergeCell ref="I71:K71"/>
    <mergeCell ref="I72:K72"/>
    <mergeCell ref="I73:K73"/>
    <mergeCell ref="I75:K75"/>
    <mergeCell ref="I76:K76"/>
    <mergeCell ref="I64:K64"/>
    <mergeCell ref="I65:K65"/>
    <mergeCell ref="I66:K66"/>
    <mergeCell ref="I67:K67"/>
    <mergeCell ref="I68:K68"/>
    <mergeCell ref="I69:K69"/>
    <mergeCell ref="I58:K58"/>
    <mergeCell ref="I59:K59"/>
    <mergeCell ref="I60:K60"/>
    <mergeCell ref="I61:K61"/>
    <mergeCell ref="I62:K62"/>
    <mergeCell ref="I63:K63"/>
    <mergeCell ref="B53:F53"/>
    <mergeCell ref="I53:K53"/>
    <mergeCell ref="I54:K54"/>
    <mergeCell ref="I55:K55"/>
    <mergeCell ref="I56:K56"/>
    <mergeCell ref="I57:K57"/>
  </mergeCells>
  <dataValidations count="1">
    <dataValidation type="list" allowBlank="1" showInputMessage="1" showErrorMessage="1" sqref="E1">
      <formula1>tabla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4"/>
  <sheetViews>
    <sheetView zoomScale="90" zoomScaleNormal="90" zoomScalePageLayoutView="0" workbookViewId="0" topLeftCell="A145">
      <selection activeCell="A160" sqref="A160:IV160"/>
    </sheetView>
  </sheetViews>
  <sheetFormatPr defaultColWidth="0" defaultRowHeight="15"/>
  <cols>
    <col min="1" max="1" width="28.7109375" style="2" customWidth="1"/>
    <col min="2" max="2" width="11.421875" style="2" bestFit="1" customWidth="1"/>
    <col min="3" max="3" width="10.7109375" style="2" bestFit="1" customWidth="1"/>
    <col min="4" max="4" width="11.421875" style="2" bestFit="1" customWidth="1"/>
    <col min="5" max="8" width="11.7109375" style="2" bestFit="1" customWidth="1"/>
    <col min="9" max="9" width="13.57421875" style="2" bestFit="1" customWidth="1"/>
    <col min="10" max="13" width="11.7109375" style="2" bestFit="1" customWidth="1"/>
    <col min="14" max="14" width="10.7109375" style="2" bestFit="1" customWidth="1"/>
    <col min="15" max="15" width="9.00390625" style="2" bestFit="1" customWidth="1"/>
    <col min="16" max="16" width="8.7109375" style="2" customWidth="1"/>
    <col min="17" max="17" width="7.7109375" style="2" customWidth="1"/>
    <col min="18" max="16384" width="11.421875" style="5" hidden="1" customWidth="1"/>
  </cols>
  <sheetData>
    <row r="1" spans="1:5" ht="12.75" thickBot="1">
      <c r="A1" s="1" t="s">
        <v>91</v>
      </c>
      <c r="B1" s="107" t="s">
        <v>92</v>
      </c>
      <c r="D1" s="3" t="s">
        <v>33</v>
      </c>
      <c r="E1" s="4">
        <v>10</v>
      </c>
    </row>
    <row r="2" spans="1:2" ht="13.5" thickBot="1">
      <c r="A2" s="98"/>
      <c r="B2" s="99"/>
    </row>
    <row r="3" spans="1:14" ht="12.75" thickBot="1">
      <c r="A3" s="7" t="s">
        <v>141</v>
      </c>
      <c r="B3" s="12">
        <v>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</row>
    <row r="4" spans="1:14" ht="12.75" thickBot="1">
      <c r="A4" s="7" t="s">
        <v>89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12</v>
      </c>
    </row>
    <row r="5" spans="1:15" ht="12.75" thickBot="1">
      <c r="A5" s="7" t="s">
        <v>90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120</v>
      </c>
      <c r="O5" s="7" t="s">
        <v>14</v>
      </c>
    </row>
    <row r="6" spans="1:15" ht="12">
      <c r="A6" s="8" t="s">
        <v>0</v>
      </c>
      <c r="B6" s="9">
        <v>70344.69200000001</v>
      </c>
      <c r="C6" s="9">
        <v>60376</v>
      </c>
      <c r="D6" s="9">
        <v>62925.5</v>
      </c>
      <c r="E6" s="9">
        <v>65026</v>
      </c>
      <c r="F6" s="9">
        <v>66276</v>
      </c>
      <c r="G6" s="9">
        <v>65025.5</v>
      </c>
      <c r="H6" s="9">
        <v>67310.5</v>
      </c>
      <c r="I6" s="9">
        <v>66968.5</v>
      </c>
      <c r="J6" s="9">
        <v>66925.5</v>
      </c>
      <c r="K6" s="9">
        <v>67125.5</v>
      </c>
      <c r="L6" s="9"/>
      <c r="M6" s="9"/>
      <c r="N6" s="9"/>
      <c r="O6" s="10">
        <f aca="true" t="shared" si="0" ref="O6:O16">+SUM(B6:M6)</f>
        <v>658303.692</v>
      </c>
    </row>
    <row r="7" spans="1:15" ht="12">
      <c r="A7" s="11" t="s">
        <v>98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>
        <f>+SUM(B7:N7)</f>
        <v>0</v>
      </c>
    </row>
    <row r="8" spans="1:15" ht="12">
      <c r="A8" s="11" t="s">
        <v>112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>
        <f t="shared" si="0"/>
        <v>0</v>
      </c>
    </row>
    <row r="9" spans="1:15" ht="12">
      <c r="A9" s="11" t="s">
        <v>119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>
        <f t="shared" si="0"/>
        <v>0</v>
      </c>
    </row>
    <row r="10" spans="1:15" s="2" customFormat="1" ht="12">
      <c r="A10" s="11" t="s">
        <v>113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>
        <f t="shared" si="0"/>
        <v>0</v>
      </c>
    </row>
    <row r="11" spans="1:17" s="2" customFormat="1" ht="12">
      <c r="A11" s="11" t="s">
        <v>138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>
        <f t="shared" si="0"/>
        <v>0</v>
      </c>
      <c r="P11" s="6"/>
      <c r="Q11" s="6"/>
    </row>
    <row r="12" spans="1:17" s="2" customFormat="1" ht="12">
      <c r="A12" s="11" t="s">
        <v>25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>
        <f t="shared" si="0"/>
        <v>0</v>
      </c>
      <c r="Q12" s="6"/>
    </row>
    <row r="13" spans="1:17" s="2" customFormat="1" ht="12">
      <c r="A13" s="11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>
        <f t="shared" si="0"/>
        <v>0</v>
      </c>
      <c r="Q13" s="6"/>
    </row>
    <row r="14" spans="1:15" s="2" customFormat="1" ht="12">
      <c r="A14" s="11" t="s">
        <v>117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>
        <f t="shared" si="0"/>
        <v>0</v>
      </c>
    </row>
    <row r="15" spans="1:17" s="2" customFormat="1" ht="12">
      <c r="A15" s="11" t="s">
        <v>23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>
        <f t="shared" si="0"/>
        <v>0</v>
      </c>
      <c r="Q15" s="6"/>
    </row>
    <row r="16" spans="1:15" s="2" customFormat="1" ht="12">
      <c r="A16" s="11" t="s">
        <v>24</v>
      </c>
      <c r="B16" s="12">
        <f aca="true" t="shared" si="1" ref="B16:M16">+ROUND(B15/12,2)</f>
        <v>0</v>
      </c>
      <c r="C16" s="12">
        <f t="shared" si="1"/>
        <v>0</v>
      </c>
      <c r="D16" s="12">
        <f t="shared" si="1"/>
        <v>0</v>
      </c>
      <c r="E16" s="12">
        <f t="shared" si="1"/>
        <v>0</v>
      </c>
      <c r="F16" s="12">
        <f t="shared" si="1"/>
        <v>0</v>
      </c>
      <c r="G16" s="12">
        <f t="shared" si="1"/>
        <v>0</v>
      </c>
      <c r="H16" s="12">
        <f t="shared" si="1"/>
        <v>0</v>
      </c>
      <c r="I16" s="12">
        <f t="shared" si="1"/>
        <v>0</v>
      </c>
      <c r="J16" s="12">
        <f t="shared" si="1"/>
        <v>0</v>
      </c>
      <c r="K16" s="12">
        <f t="shared" si="1"/>
        <v>0</v>
      </c>
      <c r="L16" s="12">
        <f t="shared" si="1"/>
        <v>0</v>
      </c>
      <c r="M16" s="12">
        <f t="shared" si="1"/>
        <v>0</v>
      </c>
      <c r="N16" s="12"/>
      <c r="O16" s="13">
        <f t="shared" si="0"/>
        <v>0</v>
      </c>
    </row>
    <row r="17" spans="1:15" s="2" customFormat="1" ht="12">
      <c r="A17" s="11" t="s">
        <v>123</v>
      </c>
      <c r="B17" s="14"/>
      <c r="C17" s="14"/>
      <c r="D17" s="14"/>
      <c r="E17" s="14"/>
      <c r="F17" s="14"/>
      <c r="G17" s="14">
        <f>+SUM(B6:B13)/2</f>
        <v>35172.346000000005</v>
      </c>
      <c r="H17" s="14"/>
      <c r="I17" s="14"/>
      <c r="J17" s="14"/>
      <c r="K17" s="14"/>
      <c r="L17" s="14"/>
      <c r="M17" s="14">
        <f>+SUM(M6:M13)/2</f>
        <v>0</v>
      </c>
      <c r="N17" s="14"/>
      <c r="O17" s="13">
        <f>+IF(E1&gt;5,SUM(B17:N17),0)</f>
        <v>35172.346000000005</v>
      </c>
    </row>
    <row r="18" spans="1:15" s="2" customFormat="1" ht="12">
      <c r="A18" s="11" t="s">
        <v>1</v>
      </c>
      <c r="B18" s="12"/>
      <c r="C18" s="12"/>
      <c r="D18" s="12">
        <v>19000</v>
      </c>
      <c r="E18" s="12">
        <v>6000</v>
      </c>
      <c r="F18" s="12">
        <v>7000</v>
      </c>
      <c r="G18" s="12">
        <v>22600</v>
      </c>
      <c r="H18" s="12">
        <v>10000</v>
      </c>
      <c r="I18" s="12">
        <v>3000</v>
      </c>
      <c r="J18" s="12">
        <v>19000</v>
      </c>
      <c r="K18" s="12">
        <v>15000</v>
      </c>
      <c r="L18" s="12"/>
      <c r="M18" s="12"/>
      <c r="N18" s="12"/>
      <c r="O18" s="13">
        <f aca="true" t="shared" si="2" ref="O18:O23">+SUM(B18:M18)</f>
        <v>101600</v>
      </c>
    </row>
    <row r="19" spans="1:15" s="2" customFormat="1" ht="12">
      <c r="A19" s="11">
        <f>+""</f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>
        <f t="shared" si="2"/>
        <v>0</v>
      </c>
    </row>
    <row r="20" spans="1:15" s="2" customFormat="1" ht="12">
      <c r="A20" s="11" t="s">
        <v>31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>
        <f t="shared" si="2"/>
        <v>0</v>
      </c>
    </row>
    <row r="21" spans="1:15" s="2" customFormat="1" ht="12">
      <c r="A21" s="11" t="s">
        <v>28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>
        <f t="shared" si="2"/>
        <v>0</v>
      </c>
    </row>
    <row r="22" spans="1:15" s="2" customFormat="1" ht="12">
      <c r="A22" s="11" t="s">
        <v>140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/>
      <c r="M22" s="12"/>
      <c r="N22" s="12"/>
      <c r="O22" s="13">
        <f t="shared" si="2"/>
        <v>0</v>
      </c>
    </row>
    <row r="23" spans="1:15" s="2" customFormat="1" ht="1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>
        <f t="shared" si="2"/>
        <v>0</v>
      </c>
    </row>
    <row r="24" spans="1:15" s="2" customFormat="1" ht="12.75" thickBot="1">
      <c r="A24" s="15" t="s">
        <v>108</v>
      </c>
      <c r="B24" s="16">
        <f>+ROUND((SUM(B6:B13)-B11)/12,2)</f>
        <v>5862.06</v>
      </c>
      <c r="C24" s="16">
        <f aca="true" t="shared" si="3" ref="C24:L24">+ROUND((SUM(C6:C13)-C11)/12,2)</f>
        <v>5031.33</v>
      </c>
      <c r="D24" s="16">
        <f t="shared" si="3"/>
        <v>5243.79</v>
      </c>
      <c r="E24" s="16">
        <f t="shared" si="3"/>
        <v>5418.83</v>
      </c>
      <c r="F24" s="16">
        <f t="shared" si="3"/>
        <v>5523</v>
      </c>
      <c r="G24" s="16">
        <f>+IF($E$1&gt;5,-SUM(B24:F24),0)</f>
        <v>-27079.010000000002</v>
      </c>
      <c r="H24" s="16">
        <f>+ROUND((SUM(H6:H13)-H11)/12,2)</f>
        <v>5609.21</v>
      </c>
      <c r="I24" s="16">
        <f>+ROUND((SUM(I6:I13)-I11)/12,2)</f>
        <v>5580.71</v>
      </c>
      <c r="J24" s="16">
        <f t="shared" si="3"/>
        <v>5577.13</v>
      </c>
      <c r="K24" s="16">
        <f t="shared" si="3"/>
        <v>5593.79</v>
      </c>
      <c r="L24" s="16">
        <f t="shared" si="3"/>
        <v>0</v>
      </c>
      <c r="M24" s="16">
        <f>+IF($E$1=12,-SUM(B24:L24),0)</f>
        <v>0</v>
      </c>
      <c r="N24" s="16">
        <v>0</v>
      </c>
      <c r="O24" s="17">
        <f>+SUM(B24:N24)</f>
        <v>22360.84</v>
      </c>
    </row>
    <row r="25" spans="1:15" s="2" customFormat="1" ht="12.75" thickBot="1">
      <c r="A25" s="18" t="s">
        <v>116</v>
      </c>
      <c r="B25" s="19">
        <f>-(SUM(B28:B30)+B32)/12</f>
        <v>-1113.7909566666667</v>
      </c>
      <c r="C25" s="19">
        <f>-(SUM(C28:C30)+C32)/12</f>
        <v>-955.9533333333334</v>
      </c>
      <c r="D25" s="19">
        <f>-(SUM(D28:D30)+D32)/12</f>
        <v>-996.3204166666666</v>
      </c>
      <c r="E25" s="19">
        <f>-(SUM(E28:E30)+E32)/12</f>
        <v>-1029.5783333333334</v>
      </c>
      <c r="F25" s="19">
        <f aca="true" t="shared" si="4" ref="F25:L25">-(SUM(F28:F30)+F32)/12</f>
        <v>-1049.3700000000001</v>
      </c>
      <c r="G25" s="16">
        <f>+IF($E$1&gt;5,-SUM(B25:F25),0)</f>
        <v>5145.01304</v>
      </c>
      <c r="H25" s="19">
        <f>-(SUM(H28:H30)+H32)/12</f>
        <v>-1065.7495833333332</v>
      </c>
      <c r="I25" s="19">
        <f t="shared" si="4"/>
        <v>-1060.3345833333333</v>
      </c>
      <c r="J25" s="19">
        <f t="shared" si="4"/>
        <v>-1059.65375</v>
      </c>
      <c r="K25" s="19">
        <f t="shared" si="4"/>
        <v>-1062.8204166666667</v>
      </c>
      <c r="L25" s="19">
        <f t="shared" si="4"/>
        <v>0</v>
      </c>
      <c r="M25" s="16">
        <f>+IF($E$1=12,-SUM(B25:L25),0)</f>
        <v>0</v>
      </c>
      <c r="N25" s="16">
        <v>0</v>
      </c>
      <c r="O25" s="17">
        <f>+SUM(B25:N25)</f>
        <v>-4248.558333333333</v>
      </c>
    </row>
    <row r="26" spans="1:15" s="2" customFormat="1" ht="12.75" thickBot="1">
      <c r="A26" s="20" t="s">
        <v>93</v>
      </c>
      <c r="B26" s="21">
        <f>+ROUND(SUM(B6:B21),2)</f>
        <v>70344.69</v>
      </c>
      <c r="C26" s="21">
        <f aca="true" t="shared" si="5" ref="C26:M26">+SUM(C6:C20)</f>
        <v>60376</v>
      </c>
      <c r="D26" s="21">
        <f t="shared" si="5"/>
        <v>81925.5</v>
      </c>
      <c r="E26" s="21">
        <f t="shared" si="5"/>
        <v>71026</v>
      </c>
      <c r="F26" s="21">
        <f t="shared" si="5"/>
        <v>73276</v>
      </c>
      <c r="G26" s="21">
        <f t="shared" si="5"/>
        <v>122797.846</v>
      </c>
      <c r="H26" s="21">
        <f t="shared" si="5"/>
        <v>77310.5</v>
      </c>
      <c r="I26" s="21">
        <f>+SUM(I6:I20)</f>
        <v>69968.5</v>
      </c>
      <c r="J26" s="21">
        <f t="shared" si="5"/>
        <v>85925.5</v>
      </c>
      <c r="K26" s="21">
        <f>+SUM(K6:K22)</f>
        <v>82125.5</v>
      </c>
      <c r="L26" s="21">
        <f t="shared" si="5"/>
        <v>0</v>
      </c>
      <c r="M26" s="21">
        <f t="shared" si="5"/>
        <v>0</v>
      </c>
      <c r="N26" s="21">
        <f>+SUM(N6:N20)</f>
        <v>0</v>
      </c>
      <c r="O26" s="21">
        <f>+SUM(O6:O20)</f>
        <v>795076.0380000001</v>
      </c>
    </row>
    <row r="27" s="2" customFormat="1" ht="12.75" thickBot="1"/>
    <row r="28" spans="1:15" s="2" customFormat="1" ht="12.75" thickBot="1">
      <c r="A28" s="8" t="s">
        <v>15</v>
      </c>
      <c r="B28" s="9">
        <f>+B49*11%</f>
        <v>7737.916120000001</v>
      </c>
      <c r="C28" s="9">
        <f aca="true" t="shared" si="6" ref="C28:N28">+C49*11%</f>
        <v>6641.36</v>
      </c>
      <c r="D28" s="9">
        <f t="shared" si="6"/>
        <v>6921.805</v>
      </c>
      <c r="E28" s="9">
        <f t="shared" si="6"/>
        <v>7152.86</v>
      </c>
      <c r="F28" s="9">
        <f t="shared" si="6"/>
        <v>7290.36</v>
      </c>
      <c r="G28" s="9">
        <f t="shared" si="6"/>
        <v>11021.763060000001</v>
      </c>
      <c r="H28" s="9">
        <f t="shared" si="6"/>
        <v>7404.155</v>
      </c>
      <c r="I28" s="9">
        <f t="shared" si="6"/>
        <v>7366.535</v>
      </c>
      <c r="J28" s="9">
        <f t="shared" si="6"/>
        <v>7361.805</v>
      </c>
      <c r="K28" s="9">
        <f t="shared" si="6"/>
        <v>7383.805</v>
      </c>
      <c r="L28" s="9">
        <f t="shared" si="6"/>
        <v>0</v>
      </c>
      <c r="M28" s="9">
        <f t="shared" si="6"/>
        <v>0</v>
      </c>
      <c r="N28" s="9">
        <f t="shared" si="6"/>
        <v>0</v>
      </c>
      <c r="O28" s="10">
        <f>+SUM(B28:N28)</f>
        <v>76282.36418</v>
      </c>
    </row>
    <row r="29" spans="1:15" s="2" customFormat="1" ht="12.75" thickBot="1">
      <c r="A29" s="11" t="s">
        <v>19</v>
      </c>
      <c r="B29" s="12">
        <f>+B28/11*3</f>
        <v>2110.34076</v>
      </c>
      <c r="C29" s="12">
        <f aca="true" t="shared" si="7" ref="C29:N29">+C28/11*3</f>
        <v>1811.28</v>
      </c>
      <c r="D29" s="12">
        <f t="shared" si="7"/>
        <v>1887.7649999999999</v>
      </c>
      <c r="E29" s="12">
        <f t="shared" si="7"/>
        <v>1950.78</v>
      </c>
      <c r="F29" s="12">
        <f t="shared" si="7"/>
        <v>1988.28</v>
      </c>
      <c r="G29" s="12">
        <f t="shared" si="7"/>
        <v>3005.9353800000004</v>
      </c>
      <c r="H29" s="12">
        <f t="shared" si="7"/>
        <v>2019.315</v>
      </c>
      <c r="I29" s="12">
        <f t="shared" si="7"/>
        <v>2009.0549999999998</v>
      </c>
      <c r="J29" s="12">
        <f t="shared" si="7"/>
        <v>2007.7649999999999</v>
      </c>
      <c r="K29" s="12">
        <f t="shared" si="7"/>
        <v>2013.7649999999999</v>
      </c>
      <c r="L29" s="12">
        <f t="shared" si="7"/>
        <v>0</v>
      </c>
      <c r="M29" s="12">
        <f t="shared" si="7"/>
        <v>0</v>
      </c>
      <c r="N29" s="12">
        <f t="shared" si="7"/>
        <v>0</v>
      </c>
      <c r="O29" s="10">
        <f aca="true" t="shared" si="8" ref="O29:O35">+SUM(B29:N29)</f>
        <v>20804.28114</v>
      </c>
    </row>
    <row r="30" spans="1:15" s="2" customFormat="1" ht="12.75" thickBot="1">
      <c r="A30" s="11" t="s">
        <v>20</v>
      </c>
      <c r="B30" s="12">
        <f>+B29</f>
        <v>2110.34076</v>
      </c>
      <c r="C30" s="12">
        <f aca="true" t="shared" si="9" ref="C30:N30">+C29</f>
        <v>1811.28</v>
      </c>
      <c r="D30" s="12">
        <f t="shared" si="9"/>
        <v>1887.7649999999999</v>
      </c>
      <c r="E30" s="12">
        <f t="shared" si="9"/>
        <v>1950.78</v>
      </c>
      <c r="F30" s="12">
        <f t="shared" si="9"/>
        <v>1988.28</v>
      </c>
      <c r="G30" s="12">
        <f t="shared" si="9"/>
        <v>3005.9353800000004</v>
      </c>
      <c r="H30" s="12">
        <f t="shared" si="9"/>
        <v>2019.315</v>
      </c>
      <c r="I30" s="12">
        <f t="shared" si="9"/>
        <v>2009.0549999999998</v>
      </c>
      <c r="J30" s="12">
        <f t="shared" si="9"/>
        <v>2007.7649999999999</v>
      </c>
      <c r="K30" s="12">
        <f t="shared" si="9"/>
        <v>2013.7649999999999</v>
      </c>
      <c r="L30" s="12">
        <f t="shared" si="9"/>
        <v>0</v>
      </c>
      <c r="M30" s="12">
        <f t="shared" si="9"/>
        <v>0</v>
      </c>
      <c r="N30" s="12">
        <f t="shared" si="9"/>
        <v>0</v>
      </c>
      <c r="O30" s="10">
        <f t="shared" si="8"/>
        <v>20804.28114</v>
      </c>
    </row>
    <row r="31" spans="1:15" s="2" customFormat="1" ht="12.75" thickBot="1">
      <c r="A31" s="11" t="s">
        <v>22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 t="shared" si="8"/>
        <v>0</v>
      </c>
    </row>
    <row r="32" spans="1:15" s="2" customFormat="1" ht="12.75" thickBot="1">
      <c r="A32" s="11" t="s">
        <v>21</v>
      </c>
      <c r="B32" s="12">
        <f>+B30/3*2</f>
        <v>1406.89384</v>
      </c>
      <c r="C32" s="12">
        <f aca="true" t="shared" si="10" ref="C32:K32">+C30/3*2</f>
        <v>1207.52</v>
      </c>
      <c r="D32" s="12">
        <f t="shared" si="10"/>
        <v>1258.51</v>
      </c>
      <c r="E32" s="12">
        <f t="shared" si="10"/>
        <v>1300.52</v>
      </c>
      <c r="F32" s="12">
        <f t="shared" si="10"/>
        <v>1325.52</v>
      </c>
      <c r="G32" s="12">
        <f t="shared" si="10"/>
        <v>2003.9569200000003</v>
      </c>
      <c r="H32" s="12">
        <f t="shared" si="10"/>
        <v>1346.21</v>
      </c>
      <c r="I32" s="12">
        <f t="shared" si="10"/>
        <v>1339.37</v>
      </c>
      <c r="J32" s="12">
        <f t="shared" si="10"/>
        <v>1338.51</v>
      </c>
      <c r="K32" s="12">
        <f t="shared" si="10"/>
        <v>1342.51</v>
      </c>
      <c r="L32" s="12">
        <f>+L30/3*1</f>
        <v>0</v>
      </c>
      <c r="M32" s="12">
        <f>+M30/3*1</f>
        <v>0</v>
      </c>
      <c r="N32" s="12">
        <f>+N30/3*1</f>
        <v>0</v>
      </c>
      <c r="O32" s="10">
        <f t="shared" si="8"/>
        <v>13869.52076</v>
      </c>
    </row>
    <row r="33" spans="1:15" s="2" customFormat="1" ht="12.75" thickBot="1">
      <c r="A33" s="11" t="s">
        <v>133</v>
      </c>
      <c r="B33" s="12">
        <f aca="true" t="shared" si="11" ref="B33:J33">+B22</f>
        <v>0</v>
      </c>
      <c r="C33" s="12">
        <f t="shared" si="11"/>
        <v>0</v>
      </c>
      <c r="D33" s="12">
        <f t="shared" si="11"/>
        <v>0</v>
      </c>
      <c r="E33" s="12">
        <f t="shared" si="11"/>
        <v>0</v>
      </c>
      <c r="F33" s="12">
        <f t="shared" si="11"/>
        <v>0</v>
      </c>
      <c r="G33" s="12">
        <f t="shared" si="11"/>
        <v>0</v>
      </c>
      <c r="H33" s="12">
        <f t="shared" si="11"/>
        <v>0</v>
      </c>
      <c r="I33" s="12">
        <f t="shared" si="11"/>
        <v>0</v>
      </c>
      <c r="J33" s="12">
        <f t="shared" si="11"/>
        <v>0</v>
      </c>
      <c r="K33" s="12">
        <f>+K22</f>
        <v>0</v>
      </c>
      <c r="L33" s="12">
        <f>+L22</f>
        <v>0</v>
      </c>
      <c r="M33" s="12">
        <f>+M22</f>
        <v>0</v>
      </c>
      <c r="N33" s="12">
        <f>+N22</f>
        <v>0</v>
      </c>
      <c r="O33" s="10">
        <f t="shared" si="8"/>
        <v>0</v>
      </c>
    </row>
    <row r="34" spans="1:15" s="2" customFormat="1" ht="12.75" thickBot="1">
      <c r="A34" s="11" t="s">
        <v>124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8"/>
        <v>0</v>
      </c>
    </row>
    <row r="35" spans="1:15" s="2" customFormat="1" ht="12.75" thickBot="1">
      <c r="A35" s="22" t="s">
        <v>106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0">
        <f t="shared" si="8"/>
        <v>0</v>
      </c>
    </row>
    <row r="36" spans="1:15" s="2" customFormat="1" ht="12.75" thickBot="1">
      <c r="A36" s="20" t="s">
        <v>29</v>
      </c>
      <c r="B36" s="21">
        <f>+SUM(B28:B35)</f>
        <v>13365.49148</v>
      </c>
      <c r="C36" s="21">
        <f aca="true" t="shared" si="12" ref="C36:M36">+SUM(C28:C35)</f>
        <v>11471.44</v>
      </c>
      <c r="D36" s="21">
        <f t="shared" si="12"/>
        <v>11955.845</v>
      </c>
      <c r="E36" s="21">
        <f t="shared" si="12"/>
        <v>12354.94</v>
      </c>
      <c r="F36" s="21">
        <f t="shared" si="12"/>
        <v>12592.44</v>
      </c>
      <c r="G36" s="21">
        <f t="shared" si="12"/>
        <v>19037.590740000003</v>
      </c>
      <c r="H36" s="21">
        <f t="shared" si="12"/>
        <v>12788.994999999999</v>
      </c>
      <c r="I36" s="21">
        <f t="shared" si="12"/>
        <v>12724.015</v>
      </c>
      <c r="J36" s="21">
        <f t="shared" si="12"/>
        <v>12715.845</v>
      </c>
      <c r="K36" s="21">
        <f t="shared" si="12"/>
        <v>12753.845</v>
      </c>
      <c r="L36" s="21">
        <f t="shared" si="12"/>
        <v>0</v>
      </c>
      <c r="M36" s="21">
        <f t="shared" si="12"/>
        <v>0</v>
      </c>
      <c r="N36" s="21">
        <f>+SUM(N28:N35)</f>
        <v>0</v>
      </c>
      <c r="O36" s="21">
        <f>+SUM(B36:M36)</f>
        <v>131760.44722</v>
      </c>
    </row>
    <row r="37" s="2" customFormat="1" ht="12.75" thickBot="1">
      <c r="O37" s="6"/>
    </row>
    <row r="38" spans="1:15" s="2" customFormat="1" ht="12.75" thickBot="1">
      <c r="A38" s="20" t="s">
        <v>30</v>
      </c>
      <c r="B38" s="21">
        <f>+ROUND(B26-B36,2)</f>
        <v>56979.2</v>
      </c>
      <c r="C38" s="21">
        <f aca="true" t="shared" si="13" ref="C38:M38">+ROUND(C26-C36,2)</f>
        <v>48904.56</v>
      </c>
      <c r="D38" s="21">
        <f t="shared" si="13"/>
        <v>69969.66</v>
      </c>
      <c r="E38" s="21">
        <f t="shared" si="13"/>
        <v>58671.06</v>
      </c>
      <c r="F38" s="21">
        <f t="shared" si="13"/>
        <v>60683.56</v>
      </c>
      <c r="G38" s="21">
        <f t="shared" si="13"/>
        <v>103760.26</v>
      </c>
      <c r="H38" s="21">
        <f t="shared" si="13"/>
        <v>64521.51</v>
      </c>
      <c r="I38" s="21">
        <f t="shared" si="13"/>
        <v>57244.49</v>
      </c>
      <c r="J38" s="21">
        <f t="shared" si="13"/>
        <v>73209.66</v>
      </c>
      <c r="K38" s="21">
        <f t="shared" si="13"/>
        <v>69371.66</v>
      </c>
      <c r="L38" s="21">
        <f t="shared" si="13"/>
        <v>0</v>
      </c>
      <c r="M38" s="21">
        <f t="shared" si="13"/>
        <v>0</v>
      </c>
      <c r="N38" s="21">
        <f>+ROUND(N26-N36,2)</f>
        <v>0</v>
      </c>
      <c r="O38" s="21">
        <f>+SUM(B38:M38)</f>
        <v>663315.62</v>
      </c>
    </row>
    <row r="39" spans="1:15" s="2" customFormat="1" ht="23.25">
      <c r="A39" s="119" t="s">
        <v>142</v>
      </c>
      <c r="B39" s="118">
        <f aca="true" t="shared" si="14" ref="B39:M39">+IF($E$1=B4,$N$125,0)</f>
        <v>0</v>
      </c>
      <c r="C39" s="118">
        <f t="shared" si="14"/>
        <v>0</v>
      </c>
      <c r="D39" s="118">
        <f t="shared" si="14"/>
        <v>0</v>
      </c>
      <c r="E39" s="118">
        <f t="shared" si="14"/>
        <v>0</v>
      </c>
      <c r="F39" s="118">
        <f t="shared" si="14"/>
        <v>0</v>
      </c>
      <c r="G39" s="118">
        <f t="shared" si="14"/>
        <v>0</v>
      </c>
      <c r="H39" s="118">
        <f t="shared" si="14"/>
        <v>0</v>
      </c>
      <c r="I39" s="118">
        <f t="shared" si="14"/>
        <v>0</v>
      </c>
      <c r="J39" s="118">
        <f t="shared" si="14"/>
        <v>0</v>
      </c>
      <c r="K39" s="118">
        <f t="shared" si="14"/>
        <v>60.43</v>
      </c>
      <c r="L39" s="118">
        <f t="shared" si="14"/>
        <v>0</v>
      </c>
      <c r="M39" s="118">
        <f t="shared" si="14"/>
        <v>0</v>
      </c>
      <c r="N39" s="6"/>
      <c r="O39" s="6"/>
    </row>
    <row r="40" spans="2:14" s="2" customFormat="1" ht="12.75" thickBo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5" s="2" customFormat="1" ht="12.75" thickBot="1">
      <c r="A41" s="24" t="s">
        <v>16</v>
      </c>
      <c r="B41" s="25">
        <v>159028.8</v>
      </c>
      <c r="C41" s="25">
        <f>+B41</f>
        <v>159028.8</v>
      </c>
      <c r="D41" s="25">
        <v>173945.7</v>
      </c>
      <c r="E41" s="25">
        <f aca="true" t="shared" si="15" ref="E41:N41">+D41</f>
        <v>173945.7</v>
      </c>
      <c r="F41" s="25">
        <f t="shared" si="15"/>
        <v>173945.7</v>
      </c>
      <c r="G41" s="25">
        <v>184591.18</v>
      </c>
      <c r="H41" s="25">
        <f t="shared" si="15"/>
        <v>184591.18</v>
      </c>
      <c r="I41" s="25">
        <f t="shared" si="15"/>
        <v>184591.18</v>
      </c>
      <c r="J41" s="25">
        <v>198435.51849999998</v>
      </c>
      <c r="K41" s="25">
        <f t="shared" si="15"/>
        <v>198435.51849999998</v>
      </c>
      <c r="L41" s="25">
        <f t="shared" si="15"/>
        <v>198435.51849999998</v>
      </c>
      <c r="M41" s="25">
        <f t="shared" si="15"/>
        <v>198435.51849999998</v>
      </c>
      <c r="N41" s="25">
        <f t="shared" si="15"/>
        <v>198435.51849999998</v>
      </c>
      <c r="O41" s="6"/>
    </row>
    <row r="42" spans="1:15" s="2" customFormat="1" ht="12">
      <c r="A42" s="26" t="s">
        <v>17</v>
      </c>
      <c r="B42" s="27">
        <f>30-B43</f>
        <v>30</v>
      </c>
      <c r="C42" s="27">
        <f aca="true" t="shared" si="16" ref="C42:N42">30-C43</f>
        <v>30</v>
      </c>
      <c r="D42" s="27">
        <f t="shared" si="16"/>
        <v>30</v>
      </c>
      <c r="E42" s="27">
        <f t="shared" si="16"/>
        <v>30</v>
      </c>
      <c r="F42" s="27">
        <f t="shared" si="16"/>
        <v>30</v>
      </c>
      <c r="G42" s="27">
        <f t="shared" si="16"/>
        <v>30</v>
      </c>
      <c r="H42" s="27">
        <f t="shared" si="16"/>
        <v>30</v>
      </c>
      <c r="I42" s="27">
        <f t="shared" si="16"/>
        <v>30</v>
      </c>
      <c r="J42" s="27">
        <f t="shared" si="16"/>
        <v>30</v>
      </c>
      <c r="K42" s="27">
        <f t="shared" si="16"/>
        <v>30</v>
      </c>
      <c r="L42" s="27">
        <f t="shared" si="16"/>
        <v>30</v>
      </c>
      <c r="M42" s="27">
        <f t="shared" si="16"/>
        <v>30</v>
      </c>
      <c r="N42" s="27">
        <f t="shared" si="16"/>
        <v>30</v>
      </c>
      <c r="O42" s="6"/>
    </row>
    <row r="43" spans="1:15" s="2" customFormat="1" ht="12">
      <c r="A43" s="28" t="s">
        <v>27</v>
      </c>
      <c r="B43" s="29">
        <f aca="true" t="shared" si="17" ref="B43:N43">+B3</f>
        <v>0</v>
      </c>
      <c r="C43" s="29">
        <f t="shared" si="17"/>
        <v>0</v>
      </c>
      <c r="D43" s="29">
        <f t="shared" si="17"/>
        <v>0</v>
      </c>
      <c r="E43" s="29">
        <f t="shared" si="17"/>
        <v>0</v>
      </c>
      <c r="F43" s="29">
        <f t="shared" si="17"/>
        <v>0</v>
      </c>
      <c r="G43" s="29">
        <f t="shared" si="17"/>
        <v>0</v>
      </c>
      <c r="H43" s="29">
        <f t="shared" si="17"/>
        <v>0</v>
      </c>
      <c r="I43" s="29">
        <f t="shared" si="17"/>
        <v>0</v>
      </c>
      <c r="J43" s="29">
        <f t="shared" si="17"/>
        <v>0</v>
      </c>
      <c r="K43" s="29">
        <f t="shared" si="17"/>
        <v>0</v>
      </c>
      <c r="L43" s="29">
        <f t="shared" si="17"/>
        <v>0</v>
      </c>
      <c r="M43" s="29">
        <f t="shared" si="17"/>
        <v>0</v>
      </c>
      <c r="N43" s="29">
        <f t="shared" si="17"/>
        <v>0</v>
      </c>
      <c r="O43" s="6"/>
    </row>
    <row r="44" spans="1:14" s="2" customFormat="1" ht="12.75" thickBot="1">
      <c r="A44" s="30" t="s">
        <v>18</v>
      </c>
      <c r="B44" s="31">
        <v>30</v>
      </c>
      <c r="C44" s="31">
        <v>60</v>
      </c>
      <c r="D44" s="31">
        <f>+C44+30</f>
        <v>90</v>
      </c>
      <c r="E44" s="31">
        <f aca="true" t="shared" si="18" ref="E44:L44">+D44+30</f>
        <v>120</v>
      </c>
      <c r="F44" s="31">
        <f t="shared" si="18"/>
        <v>150</v>
      </c>
      <c r="G44" s="31">
        <f t="shared" si="18"/>
        <v>180</v>
      </c>
      <c r="H44" s="31">
        <v>30</v>
      </c>
      <c r="I44" s="31">
        <v>60</v>
      </c>
      <c r="J44" s="31">
        <f t="shared" si="18"/>
        <v>90</v>
      </c>
      <c r="K44" s="31">
        <f t="shared" si="18"/>
        <v>120</v>
      </c>
      <c r="L44" s="31">
        <f t="shared" si="18"/>
        <v>150</v>
      </c>
      <c r="M44" s="31">
        <v>180</v>
      </c>
      <c r="N44" s="31">
        <v>180</v>
      </c>
    </row>
    <row r="45" s="2" customFormat="1" ht="12.75" thickBot="1"/>
    <row r="46" spans="1:14" s="2" customFormat="1" ht="12">
      <c r="A46" s="32" t="s">
        <v>101</v>
      </c>
      <c r="B46" s="117">
        <f>+IF((SUM(B6:B11)+B13+B15)&gt;B41/30*B42,B41/30*B42,(SUM(B6:B11)+B13+B15))+B22</f>
        <v>70344.69200000001</v>
      </c>
      <c r="C46" s="117">
        <f aca="true" t="shared" si="19" ref="C46:N46">+IF((SUM(C6:C11)+C13+C15)&gt;C41/30*C42,C41/30*C42,(SUM(C6:C11)+C13+C15))+C22</f>
        <v>60376</v>
      </c>
      <c r="D46" s="117">
        <f t="shared" si="19"/>
        <v>62925.5</v>
      </c>
      <c r="E46" s="117">
        <f t="shared" si="19"/>
        <v>65026</v>
      </c>
      <c r="F46" s="117">
        <f t="shared" si="19"/>
        <v>66276</v>
      </c>
      <c r="G46" s="117">
        <f t="shared" si="19"/>
        <v>65025.5</v>
      </c>
      <c r="H46" s="117">
        <f t="shared" si="19"/>
        <v>67310.5</v>
      </c>
      <c r="I46" s="117">
        <f t="shared" si="19"/>
        <v>66968.5</v>
      </c>
      <c r="J46" s="117">
        <f t="shared" si="19"/>
        <v>66925.5</v>
      </c>
      <c r="K46" s="117">
        <f t="shared" si="19"/>
        <v>67125.5</v>
      </c>
      <c r="L46" s="117">
        <f t="shared" si="19"/>
        <v>0</v>
      </c>
      <c r="M46" s="117">
        <f t="shared" si="19"/>
        <v>0</v>
      </c>
      <c r="N46" s="117">
        <f t="shared" si="19"/>
        <v>0</v>
      </c>
    </row>
    <row r="47" spans="1:14" s="2" customFormat="1" ht="12">
      <c r="A47" s="28" t="s">
        <v>99</v>
      </c>
      <c r="B47" s="29">
        <f aca="true" t="shared" si="20" ref="B47:M47">+(IF(B12=0,0,IF(B12&gt;B41/30*B43,B41/30*B43,B12)))</f>
        <v>0</v>
      </c>
      <c r="C47" s="29">
        <f>+(IF(C12=0,0,IF(C12&gt;C41/30*C43,C41/30*C43,C12)))</f>
        <v>0</v>
      </c>
      <c r="D47" s="29">
        <f t="shared" si="20"/>
        <v>0</v>
      </c>
      <c r="E47" s="29">
        <f t="shared" si="20"/>
        <v>0</v>
      </c>
      <c r="F47" s="29">
        <f t="shared" si="20"/>
        <v>0</v>
      </c>
      <c r="G47" s="29">
        <f t="shared" si="20"/>
        <v>0</v>
      </c>
      <c r="H47" s="29">
        <f t="shared" si="20"/>
        <v>0</v>
      </c>
      <c r="I47" s="29">
        <f t="shared" si="20"/>
        <v>0</v>
      </c>
      <c r="J47" s="29">
        <f t="shared" si="20"/>
        <v>0</v>
      </c>
      <c r="K47" s="29">
        <f t="shared" si="20"/>
        <v>0</v>
      </c>
      <c r="L47" s="29">
        <f t="shared" si="20"/>
        <v>0</v>
      </c>
      <c r="M47" s="29">
        <f t="shared" si="20"/>
        <v>0</v>
      </c>
      <c r="N47" s="29">
        <f>+(IF(N12=0,0,IF(N12&gt;N41/30*N43,N41/30*N43,N12)))</f>
        <v>0</v>
      </c>
    </row>
    <row r="48" spans="1:14" s="2" customFormat="1" ht="12.75" thickBot="1">
      <c r="A48" s="30" t="s">
        <v>100</v>
      </c>
      <c r="B48" s="31">
        <f>+IF((B16+B17+B14)&gt;B41/360*B44,B41/360*B44,B16+B17+B14)</f>
        <v>0</v>
      </c>
      <c r="C48" s="31">
        <f aca="true" t="shared" si="21" ref="C48:N48">+IF((C16+C17+C14)&gt;C41/360*C44,C41/360*C44,C16+C17+C14)</f>
        <v>0</v>
      </c>
      <c r="D48" s="31">
        <f t="shared" si="21"/>
        <v>0</v>
      </c>
      <c r="E48" s="31">
        <f t="shared" si="21"/>
        <v>0</v>
      </c>
      <c r="F48" s="31">
        <f t="shared" si="21"/>
        <v>0</v>
      </c>
      <c r="G48" s="31">
        <f>+IF((G16+G17+G14)&gt;G41/360*G44-SUM(B48:F48),G41/360*G44-SUM(B48:F48),G16+G17+G14)</f>
        <v>35172.346000000005</v>
      </c>
      <c r="H48" s="31">
        <f t="shared" si="21"/>
        <v>0</v>
      </c>
      <c r="I48" s="31">
        <f t="shared" si="21"/>
        <v>0</v>
      </c>
      <c r="J48" s="31">
        <f t="shared" si="21"/>
        <v>0</v>
      </c>
      <c r="K48" s="31">
        <f t="shared" si="21"/>
        <v>0</v>
      </c>
      <c r="L48" s="31">
        <f t="shared" si="21"/>
        <v>0</v>
      </c>
      <c r="M48" s="31">
        <f t="shared" si="21"/>
        <v>0</v>
      </c>
      <c r="N48" s="31">
        <f t="shared" si="21"/>
        <v>0</v>
      </c>
    </row>
    <row r="49" spans="1:14" s="2" customFormat="1" ht="12.75" thickBot="1">
      <c r="A49" s="34" t="s">
        <v>102</v>
      </c>
      <c r="B49" s="35">
        <f>+SUM(B46:B48)</f>
        <v>70344.69200000001</v>
      </c>
      <c r="C49" s="35">
        <f aca="true" t="shared" si="22" ref="C49:M49">+SUM(C46:C48)</f>
        <v>60376</v>
      </c>
      <c r="D49" s="35">
        <f t="shared" si="22"/>
        <v>62925.5</v>
      </c>
      <c r="E49" s="35">
        <f t="shared" si="22"/>
        <v>65026</v>
      </c>
      <c r="F49" s="35">
        <f t="shared" si="22"/>
        <v>66276</v>
      </c>
      <c r="G49" s="35">
        <f t="shared" si="22"/>
        <v>100197.846</v>
      </c>
      <c r="H49" s="35">
        <f t="shared" si="22"/>
        <v>67310.5</v>
      </c>
      <c r="I49" s="35">
        <f t="shared" si="22"/>
        <v>66968.5</v>
      </c>
      <c r="J49" s="35">
        <f t="shared" si="22"/>
        <v>66925.5</v>
      </c>
      <c r="K49" s="35">
        <f t="shared" si="22"/>
        <v>67125.5</v>
      </c>
      <c r="L49" s="35">
        <f t="shared" si="22"/>
        <v>0</v>
      </c>
      <c r="M49" s="35">
        <f t="shared" si="22"/>
        <v>0</v>
      </c>
      <c r="N49" s="35">
        <f>+SUM(N46:N48)</f>
        <v>0</v>
      </c>
    </row>
    <row r="50" spans="2:4" s="2" customFormat="1" ht="12">
      <c r="B50" s="6"/>
      <c r="C50" s="6"/>
      <c r="D50" s="6"/>
    </row>
    <row r="51" s="2" customFormat="1" ht="12">
      <c r="C51" s="6"/>
    </row>
    <row r="52" s="2" customFormat="1" ht="12.75" thickBot="1"/>
    <row r="53" spans="2:14" s="2" customFormat="1" ht="12.75" thickBot="1">
      <c r="B53" s="292" t="s">
        <v>34</v>
      </c>
      <c r="C53" s="293"/>
      <c r="D53" s="293"/>
      <c r="E53" s="293"/>
      <c r="F53" s="294"/>
      <c r="I53" s="295" t="s">
        <v>63</v>
      </c>
      <c r="J53" s="296"/>
      <c r="K53" s="296"/>
      <c r="L53" s="24" t="s">
        <v>59</v>
      </c>
      <c r="M53" s="24" t="s">
        <v>60</v>
      </c>
      <c r="N53" s="24" t="s">
        <v>61</v>
      </c>
    </row>
    <row r="54" spans="2:14" s="2" customFormat="1" ht="12.75" thickBot="1">
      <c r="B54" s="36" t="s">
        <v>52</v>
      </c>
      <c r="C54" s="24" t="s">
        <v>53</v>
      </c>
      <c r="D54" s="37" t="s">
        <v>54</v>
      </c>
      <c r="E54" s="24" t="s">
        <v>55</v>
      </c>
      <c r="F54" s="38" t="s">
        <v>56</v>
      </c>
      <c r="I54" s="297" t="str">
        <f aca="true" t="shared" si="23" ref="I54:I70">+A6</f>
        <v>Sueldo Fijo</v>
      </c>
      <c r="J54" s="298"/>
      <c r="K54" s="298"/>
      <c r="L54" s="39"/>
      <c r="M54" s="39">
        <f>+O6</f>
        <v>658303.692</v>
      </c>
      <c r="N54" s="39">
        <f aca="true" t="shared" si="24" ref="N54:N72">+L54+M54</f>
        <v>658303.692</v>
      </c>
    </row>
    <row r="55" spans="2:14" s="2" customFormat="1" ht="12">
      <c r="B55" s="40">
        <f aca="true" t="shared" si="25" ref="B55:B63">+ROUND(D177/12*$E$1,2)</f>
        <v>0</v>
      </c>
      <c r="C55" s="40">
        <f aca="true" t="shared" si="26" ref="C55:C63">+ROUND(E177/12*$E$1,2)</f>
        <v>39724.3</v>
      </c>
      <c r="D55" s="40">
        <f aca="true" t="shared" si="27" ref="D55:D63">+ROUND(F177/12*$E$1,2)</f>
        <v>0</v>
      </c>
      <c r="E55" s="41">
        <f aca="true" t="shared" si="28" ref="E55:E63">+G177</f>
        <v>5</v>
      </c>
      <c r="F55" s="33">
        <f aca="true" t="shared" si="29" ref="F55:F63">+ROUND(H177/12*$E$1,2)</f>
        <v>0</v>
      </c>
      <c r="I55" s="290" t="str">
        <f t="shared" si="23"/>
        <v>Novedades del mes</v>
      </c>
      <c r="J55" s="291"/>
      <c r="K55" s="291"/>
      <c r="L55" s="42"/>
      <c r="M55" s="42">
        <f>+O7</f>
        <v>0</v>
      </c>
      <c r="N55" s="42">
        <f t="shared" si="24"/>
        <v>0</v>
      </c>
    </row>
    <row r="56" spans="2:14" s="2" customFormat="1" ht="12">
      <c r="B56" s="43">
        <f t="shared" si="25"/>
        <v>39724.3</v>
      </c>
      <c r="C56" s="43">
        <f t="shared" si="26"/>
        <v>79448.6</v>
      </c>
      <c r="D56" s="43">
        <f t="shared" si="27"/>
        <v>1986.22</v>
      </c>
      <c r="E56" s="44">
        <f t="shared" si="28"/>
        <v>9</v>
      </c>
      <c r="F56" s="27">
        <f t="shared" si="29"/>
        <v>39724.3</v>
      </c>
      <c r="I56" s="290" t="str">
        <f t="shared" si="23"/>
        <v>HORAS EXTRAS 100% EXCENTAS</v>
      </c>
      <c r="J56" s="291"/>
      <c r="K56" s="291"/>
      <c r="L56" s="42"/>
      <c r="M56" s="42">
        <f>+O8*0.5</f>
        <v>0</v>
      </c>
      <c r="N56" s="42">
        <f t="shared" si="24"/>
        <v>0</v>
      </c>
    </row>
    <row r="57" spans="2:14" s="2" customFormat="1" ht="12">
      <c r="B57" s="43">
        <f t="shared" si="25"/>
        <v>79448.6</v>
      </c>
      <c r="C57" s="43">
        <f t="shared" si="26"/>
        <v>119172.9</v>
      </c>
      <c r="D57" s="43">
        <f t="shared" si="27"/>
        <v>5561.4</v>
      </c>
      <c r="E57" s="44">
        <f t="shared" si="28"/>
        <v>12</v>
      </c>
      <c r="F57" s="27">
        <f t="shared" si="29"/>
        <v>79448.6</v>
      </c>
      <c r="I57" s="290" t="str">
        <f t="shared" si="23"/>
        <v>HORAS EXTRAS 50% EXCENTAS</v>
      </c>
      <c r="J57" s="291"/>
      <c r="K57" s="291"/>
      <c r="L57" s="42"/>
      <c r="M57" s="42">
        <f>+O9*0.666666667</f>
        <v>0</v>
      </c>
      <c r="N57" s="42">
        <f t="shared" si="24"/>
        <v>0</v>
      </c>
    </row>
    <row r="58" spans="2:14" s="2" customFormat="1" ht="12">
      <c r="B58" s="43">
        <f t="shared" si="25"/>
        <v>119172.9</v>
      </c>
      <c r="C58" s="43">
        <f t="shared" si="26"/>
        <v>158897.2</v>
      </c>
      <c r="D58" s="43">
        <f t="shared" si="27"/>
        <v>10328.32</v>
      </c>
      <c r="E58" s="44">
        <f t="shared" si="28"/>
        <v>15</v>
      </c>
      <c r="F58" s="27">
        <f t="shared" si="29"/>
        <v>119172.9</v>
      </c>
      <c r="I58" s="290" t="str">
        <f t="shared" si="23"/>
        <v>HORAS EXTRAS 50%</v>
      </c>
      <c r="J58" s="291"/>
      <c r="K58" s="291"/>
      <c r="L58" s="42"/>
      <c r="M58" s="42">
        <f>+O10</f>
        <v>0</v>
      </c>
      <c r="N58" s="42">
        <f t="shared" si="24"/>
        <v>0</v>
      </c>
    </row>
    <row r="59" spans="2:14" s="2" customFormat="1" ht="12">
      <c r="B59" s="43">
        <f t="shared" si="25"/>
        <v>158897.2</v>
      </c>
      <c r="C59" s="43">
        <f t="shared" si="26"/>
        <v>238345.8</v>
      </c>
      <c r="D59" s="43">
        <f t="shared" si="27"/>
        <v>16286.96</v>
      </c>
      <c r="E59" s="44">
        <f t="shared" si="28"/>
        <v>19</v>
      </c>
      <c r="F59" s="27">
        <f t="shared" si="29"/>
        <v>158897.2</v>
      </c>
      <c r="I59" s="290" t="str">
        <f t="shared" si="23"/>
        <v>Premios</v>
      </c>
      <c r="J59" s="291"/>
      <c r="K59" s="291"/>
      <c r="L59" s="42"/>
      <c r="M59" s="42">
        <f>+O11</f>
        <v>0</v>
      </c>
      <c r="N59" s="42">
        <f t="shared" si="24"/>
        <v>0</v>
      </c>
    </row>
    <row r="60" spans="2:14" s="2" customFormat="1" ht="15" customHeight="1">
      <c r="B60" s="43">
        <f t="shared" si="25"/>
        <v>238345.8</v>
      </c>
      <c r="C60" s="43">
        <f t="shared" si="26"/>
        <v>317794.4</v>
      </c>
      <c r="D60" s="43">
        <f t="shared" si="27"/>
        <v>31382.2</v>
      </c>
      <c r="E60" s="44">
        <f t="shared" si="28"/>
        <v>23</v>
      </c>
      <c r="F60" s="27">
        <f t="shared" si="29"/>
        <v>238345.8</v>
      </c>
      <c r="I60" s="290" t="str">
        <f t="shared" si="23"/>
        <v>Vacaciones</v>
      </c>
      <c r="J60" s="291"/>
      <c r="K60" s="291"/>
      <c r="L60" s="42"/>
      <c r="M60" s="42">
        <f>+O12</f>
        <v>0</v>
      </c>
      <c r="N60" s="42">
        <f t="shared" si="24"/>
        <v>0</v>
      </c>
    </row>
    <row r="61" spans="2:14" s="2" customFormat="1" ht="15" customHeight="1">
      <c r="B61" s="43">
        <f t="shared" si="25"/>
        <v>317794.4</v>
      </c>
      <c r="C61" s="43">
        <f t="shared" si="26"/>
        <v>476691.6</v>
      </c>
      <c r="D61" s="43">
        <f t="shared" si="27"/>
        <v>49655.38</v>
      </c>
      <c r="E61" s="44">
        <f t="shared" si="28"/>
        <v>27</v>
      </c>
      <c r="F61" s="27">
        <f t="shared" si="29"/>
        <v>317794.4</v>
      </c>
      <c r="I61" s="278" t="str">
        <f t="shared" si="23"/>
        <v>Dto Vacaciones</v>
      </c>
      <c r="J61" s="279"/>
      <c r="K61" s="280"/>
      <c r="L61" s="42"/>
      <c r="M61" s="42">
        <f>+O13</f>
        <v>0</v>
      </c>
      <c r="N61" s="42">
        <f t="shared" si="24"/>
        <v>0</v>
      </c>
    </row>
    <row r="62" spans="2:14" s="2" customFormat="1" ht="15" customHeight="1">
      <c r="B62" s="43">
        <f t="shared" si="25"/>
        <v>476691.6</v>
      </c>
      <c r="C62" s="43">
        <f t="shared" si="26"/>
        <v>635588.8</v>
      </c>
      <c r="D62" s="43">
        <f t="shared" si="27"/>
        <v>92557.62</v>
      </c>
      <c r="E62" s="44">
        <f t="shared" si="28"/>
        <v>31</v>
      </c>
      <c r="F62" s="27">
        <f t="shared" si="29"/>
        <v>476691.6</v>
      </c>
      <c r="I62" s="278" t="str">
        <f t="shared" si="23"/>
        <v>Sac sobre gratificacion</v>
      </c>
      <c r="J62" s="279"/>
      <c r="K62" s="280"/>
      <c r="L62" s="42"/>
      <c r="M62" s="42">
        <f>+O14</f>
        <v>0</v>
      </c>
      <c r="N62" s="42">
        <f t="shared" si="24"/>
        <v>0</v>
      </c>
    </row>
    <row r="63" spans="2:14" s="2" customFormat="1" ht="15.75" customHeight="1" thickBot="1">
      <c r="B63" s="45">
        <f t="shared" si="25"/>
        <v>635588.8</v>
      </c>
      <c r="C63" s="45">
        <f t="shared" si="26"/>
        <v>833333332.5</v>
      </c>
      <c r="D63" s="45">
        <f t="shared" si="27"/>
        <v>141815.75</v>
      </c>
      <c r="E63" s="46">
        <f t="shared" si="28"/>
        <v>35</v>
      </c>
      <c r="F63" s="47">
        <f t="shared" si="29"/>
        <v>635588.8</v>
      </c>
      <c r="I63" s="278" t="str">
        <f t="shared" si="23"/>
        <v>Gratificacion / Premio prorrateable</v>
      </c>
      <c r="J63" s="279"/>
      <c r="K63" s="280"/>
      <c r="L63" s="42"/>
      <c r="M63" s="42">
        <f>+N191</f>
        <v>0</v>
      </c>
      <c r="N63" s="42">
        <f t="shared" si="24"/>
        <v>0</v>
      </c>
    </row>
    <row r="64" spans="9:14" s="2" customFormat="1" ht="15" customHeight="1">
      <c r="I64" s="278" t="str">
        <f t="shared" si="23"/>
        <v>SAC Gratificacion Premio Prorrateable</v>
      </c>
      <c r="J64" s="279"/>
      <c r="K64" s="280"/>
      <c r="L64" s="42"/>
      <c r="M64" s="42">
        <f>+N192</f>
        <v>0</v>
      </c>
      <c r="N64" s="42">
        <f t="shared" si="24"/>
        <v>0</v>
      </c>
    </row>
    <row r="65" spans="9:14" s="2" customFormat="1" ht="15" customHeight="1">
      <c r="I65" s="278" t="str">
        <f t="shared" si="23"/>
        <v>SAC </v>
      </c>
      <c r="J65" s="279"/>
      <c r="K65" s="280"/>
      <c r="L65" s="42"/>
      <c r="M65" s="42">
        <f>+O17</f>
        <v>35172.346000000005</v>
      </c>
      <c r="N65" s="42">
        <f t="shared" si="24"/>
        <v>35172.346000000005</v>
      </c>
    </row>
    <row r="66" spans="9:14" s="2" customFormat="1" ht="12.75" thickBot="1">
      <c r="I66" s="278" t="str">
        <f t="shared" si="23"/>
        <v>Sueldo No rem</v>
      </c>
      <c r="J66" s="279"/>
      <c r="K66" s="280"/>
      <c r="L66" s="42"/>
      <c r="M66" s="42">
        <f>+O18</f>
        <v>101600</v>
      </c>
      <c r="N66" s="42">
        <f t="shared" si="24"/>
        <v>101600</v>
      </c>
    </row>
    <row r="67" spans="1:14" s="2" customFormat="1" ht="15.75" customHeight="1" thickBot="1">
      <c r="A67" s="104" t="s">
        <v>57</v>
      </c>
      <c r="B67" s="48" t="s">
        <v>58</v>
      </c>
      <c r="I67" s="278">
        <f t="shared" si="23"/>
      </c>
      <c r="J67" s="279"/>
      <c r="K67" s="280"/>
      <c r="L67" s="42"/>
      <c r="M67" s="42">
        <f>+O19</f>
        <v>0</v>
      </c>
      <c r="N67" s="42">
        <f t="shared" si="24"/>
        <v>0</v>
      </c>
    </row>
    <row r="68" spans="1:14" s="2" customFormat="1" ht="15" customHeight="1">
      <c r="A68" s="49" t="s">
        <v>36</v>
      </c>
      <c r="B68" s="10">
        <v>0</v>
      </c>
      <c r="I68" s="278" t="str">
        <f t="shared" si="23"/>
        <v>Conceptos indemnizatorios</v>
      </c>
      <c r="J68" s="279"/>
      <c r="K68" s="280"/>
      <c r="L68" s="42"/>
      <c r="M68" s="42">
        <f>+O20</f>
        <v>0</v>
      </c>
      <c r="N68" s="42">
        <f t="shared" si="24"/>
        <v>0</v>
      </c>
    </row>
    <row r="69" spans="1:15" s="2" customFormat="1" ht="15" customHeight="1">
      <c r="A69" s="50" t="s">
        <v>37</v>
      </c>
      <c r="B69" s="13">
        <v>1</v>
      </c>
      <c r="I69" s="278" t="str">
        <f t="shared" si="23"/>
        <v>Gratificaciones por Cese / Indemn</v>
      </c>
      <c r="J69" s="279"/>
      <c r="K69" s="280"/>
      <c r="L69" s="42"/>
      <c r="M69" s="42">
        <v>0</v>
      </c>
      <c r="N69" s="42">
        <v>0</v>
      </c>
      <c r="O69" s="2" t="s">
        <v>139</v>
      </c>
    </row>
    <row r="70" spans="1:15" s="2" customFormat="1" ht="15.75" customHeight="1">
      <c r="A70" s="50" t="s">
        <v>39</v>
      </c>
      <c r="B70" s="13">
        <v>0</v>
      </c>
      <c r="I70" s="278" t="str">
        <f t="shared" si="23"/>
        <v>Beneficios Sanidad Excentos IG</v>
      </c>
      <c r="J70" s="279"/>
      <c r="K70" s="280"/>
      <c r="L70" s="42"/>
      <c r="M70" s="42">
        <f>+O22</f>
        <v>0</v>
      </c>
      <c r="N70" s="42">
        <v>0</v>
      </c>
      <c r="O70" s="2" t="s">
        <v>139</v>
      </c>
    </row>
    <row r="71" spans="1:14" s="2" customFormat="1" ht="15.75" customHeight="1" thickBot="1">
      <c r="A71" s="50" t="s">
        <v>104</v>
      </c>
      <c r="B71" s="13">
        <v>0</v>
      </c>
      <c r="I71" s="281" t="str">
        <f>+A24</f>
        <v>SAC imputacion mensual</v>
      </c>
      <c r="J71" s="282"/>
      <c r="K71" s="283"/>
      <c r="L71" s="16"/>
      <c r="M71" s="16">
        <f>+O24</f>
        <v>22360.84</v>
      </c>
      <c r="N71" s="16">
        <f t="shared" si="24"/>
        <v>22360.84</v>
      </c>
    </row>
    <row r="72" spans="1:14" s="2" customFormat="1" ht="15.75" customHeight="1" thickBot="1">
      <c r="A72" s="50" t="s">
        <v>131</v>
      </c>
      <c r="B72" s="13">
        <v>0</v>
      </c>
      <c r="I72" s="284" t="str">
        <f>+A25</f>
        <v>Descuentos SAC</v>
      </c>
      <c r="J72" s="285"/>
      <c r="K72" s="286"/>
      <c r="L72" s="16"/>
      <c r="M72" s="16">
        <f>+O25</f>
        <v>-4248.558333333333</v>
      </c>
      <c r="N72" s="16">
        <f t="shared" si="24"/>
        <v>-4248.558333333333</v>
      </c>
    </row>
    <row r="73" spans="1:17" s="2" customFormat="1" ht="12.75" thickBot="1">
      <c r="A73" s="50" t="s">
        <v>105</v>
      </c>
      <c r="B73" s="13">
        <v>0</v>
      </c>
      <c r="I73" s="265" t="str">
        <f>+A26</f>
        <v>Bruto TOPE GCIA</v>
      </c>
      <c r="J73" s="266"/>
      <c r="K73" s="267"/>
      <c r="L73" s="51">
        <f>+SUM(L54:L72)</f>
        <v>0</v>
      </c>
      <c r="M73" s="51">
        <f>+SUM(M54:M72)</f>
        <v>813188.3196666667</v>
      </c>
      <c r="N73" s="51">
        <f>+SUM(N54:N72)</f>
        <v>813188.3196666667</v>
      </c>
      <c r="Q73" s="6"/>
    </row>
    <row r="74" spans="1:2" s="2" customFormat="1" ht="12.75" thickBot="1">
      <c r="A74" s="50" t="s">
        <v>42</v>
      </c>
      <c r="B74" s="13">
        <v>0</v>
      </c>
    </row>
    <row r="75" spans="1:14" s="2" customFormat="1" ht="12.75" thickBot="1">
      <c r="A75" s="50" t="s">
        <v>43</v>
      </c>
      <c r="B75" s="13">
        <v>0</v>
      </c>
      <c r="I75" s="265" t="s">
        <v>62</v>
      </c>
      <c r="J75" s="266"/>
      <c r="K75" s="267"/>
      <c r="L75" s="24" t="s">
        <v>59</v>
      </c>
      <c r="M75" s="24" t="s">
        <v>60</v>
      </c>
      <c r="N75" s="24" t="s">
        <v>61</v>
      </c>
    </row>
    <row r="76" spans="1:14" s="2" customFormat="1" ht="12">
      <c r="A76" s="50" t="s">
        <v>72</v>
      </c>
      <c r="B76" s="13">
        <v>0</v>
      </c>
      <c r="I76" s="287" t="str">
        <f>+A28</f>
        <v>Jubilacion</v>
      </c>
      <c r="J76" s="288"/>
      <c r="K76" s="289"/>
      <c r="L76" s="39"/>
      <c r="M76" s="39">
        <f>+O28</f>
        <v>76282.36418</v>
      </c>
      <c r="N76" s="39">
        <f>+L76+M76</f>
        <v>76282.36418</v>
      </c>
    </row>
    <row r="77" spans="1:14" s="2" customFormat="1" ht="12">
      <c r="A77" s="50" t="s">
        <v>46</v>
      </c>
      <c r="B77" s="13">
        <v>33029.65</v>
      </c>
      <c r="I77" s="278" t="str">
        <f>+A29</f>
        <v>Ley 19032</v>
      </c>
      <c r="J77" s="279"/>
      <c r="K77" s="280"/>
      <c r="L77" s="42"/>
      <c r="M77" s="42">
        <f>+O29</f>
        <v>20804.28114</v>
      </c>
      <c r="N77" s="42">
        <f>+L77+M77</f>
        <v>20804.28114</v>
      </c>
    </row>
    <row r="78" spans="1:14" s="2" customFormat="1" ht="12">
      <c r="A78" s="50" t="s">
        <v>47</v>
      </c>
      <c r="B78" s="13">
        <v>0</v>
      </c>
      <c r="I78" s="278" t="str">
        <f>+A30</f>
        <v>O. Social</v>
      </c>
      <c r="J78" s="279"/>
      <c r="K78" s="280"/>
      <c r="L78" s="42"/>
      <c r="M78" s="42">
        <f>+O30</f>
        <v>20804.28114</v>
      </c>
      <c r="N78" s="42">
        <f>+L78+M78</f>
        <v>20804.28114</v>
      </c>
    </row>
    <row r="79" spans="1:14" s="2" customFormat="1" ht="15.75" customHeight="1">
      <c r="A79" s="50" t="s">
        <v>132</v>
      </c>
      <c r="B79" s="13">
        <v>0</v>
      </c>
      <c r="I79" s="278" t="str">
        <f>+A32</f>
        <v>Sindicato</v>
      </c>
      <c r="J79" s="279"/>
      <c r="K79" s="280"/>
      <c r="L79" s="42"/>
      <c r="M79" s="42">
        <f>+O32</f>
        <v>13869.52076</v>
      </c>
      <c r="N79" s="42">
        <f>+L79+M79</f>
        <v>13869.52076</v>
      </c>
    </row>
    <row r="80" spans="1:14" s="2" customFormat="1" ht="12.75" thickBot="1">
      <c r="A80" s="50" t="s">
        <v>103</v>
      </c>
      <c r="B80" s="13">
        <v>0</v>
      </c>
      <c r="I80" s="281"/>
      <c r="J80" s="282"/>
      <c r="K80" s="283"/>
      <c r="L80" s="16"/>
      <c r="M80" s="16"/>
      <c r="N80" s="16"/>
    </row>
    <row r="81" spans="1:14" s="2" customFormat="1" ht="12.75" thickBot="1">
      <c r="A81" s="50" t="s">
        <v>50</v>
      </c>
      <c r="B81" s="13">
        <v>0</v>
      </c>
      <c r="L81" s="6"/>
      <c r="M81" s="6"/>
      <c r="N81" s="6"/>
    </row>
    <row r="82" spans="1:15" s="2" customFormat="1" ht="12.75" thickBot="1">
      <c r="A82" s="53" t="s">
        <v>51</v>
      </c>
      <c r="B82" s="13">
        <v>0</v>
      </c>
      <c r="I82" s="265" t="s">
        <v>68</v>
      </c>
      <c r="J82" s="266"/>
      <c r="K82" s="267"/>
      <c r="L82" s="51">
        <f>+SUM(L76:L81)</f>
        <v>0</v>
      </c>
      <c r="M82" s="51">
        <f>+SUM(M76:M81)</f>
        <v>131760.44722000003</v>
      </c>
      <c r="N82" s="51">
        <f>+SUM(N76:N81)</f>
        <v>131760.44722000003</v>
      </c>
      <c r="O82" s="6"/>
    </row>
    <row r="83" spans="1:14" s="2" customFormat="1" ht="15.75" customHeight="1" thickBot="1">
      <c r="A83" s="15" t="s">
        <v>85</v>
      </c>
      <c r="B83" s="17">
        <v>0</v>
      </c>
      <c r="L83" s="6"/>
      <c r="M83" s="6"/>
      <c r="N83" s="6"/>
    </row>
    <row r="84" spans="1:13" s="2" customFormat="1" ht="12.75" thickBot="1">
      <c r="A84" s="15" t="s">
        <v>137</v>
      </c>
      <c r="B84" s="17">
        <v>0</v>
      </c>
      <c r="I84" s="265" t="s">
        <v>64</v>
      </c>
      <c r="J84" s="266"/>
      <c r="K84" s="266"/>
      <c r="L84" s="266"/>
      <c r="M84" s="267"/>
    </row>
    <row r="85" spans="9:14" s="2" customFormat="1" ht="12">
      <c r="I85" s="269" t="str">
        <f>+A70</f>
        <v>Servicio Doméstico</v>
      </c>
      <c r="J85" s="270"/>
      <c r="K85" s="270"/>
      <c r="L85" s="270"/>
      <c r="M85" s="271"/>
      <c r="N85" s="54">
        <f>+IF(B70&gt;B120,B120,B70)</f>
        <v>0</v>
      </c>
    </row>
    <row r="86" spans="9:14" s="2" customFormat="1" ht="12">
      <c r="I86" s="275" t="str">
        <f>+A72</f>
        <v>Seguro mixto</v>
      </c>
      <c r="J86" s="276"/>
      <c r="K86" s="276"/>
      <c r="L86" s="276"/>
      <c r="M86" s="277"/>
      <c r="N86" s="42">
        <f>+IF(E1=12,IF(B72&gt;B116,B116,B72),0)</f>
        <v>0</v>
      </c>
    </row>
    <row r="87" spans="9:14" s="2" customFormat="1" ht="12">
      <c r="I87" s="108" t="s">
        <v>134</v>
      </c>
      <c r="J87" s="109"/>
      <c r="K87" s="109"/>
      <c r="L87" s="109"/>
      <c r="M87" s="110"/>
      <c r="N87" s="42">
        <f>+IF(E1=12,IF(B71&gt;B116,B116,B71),0)</f>
        <v>0</v>
      </c>
    </row>
    <row r="88" spans="9:14" s="2" customFormat="1" ht="12">
      <c r="I88" s="275" t="str">
        <f>+A73</f>
        <v>Gastos de Sepelio</v>
      </c>
      <c r="J88" s="276"/>
      <c r="K88" s="276"/>
      <c r="L88" s="276"/>
      <c r="M88" s="277"/>
      <c r="N88" s="42">
        <f>+IF(B73&gt;B118,B118,B73)</f>
        <v>0</v>
      </c>
    </row>
    <row r="89" spans="9:14" s="2" customFormat="1" ht="12">
      <c r="I89" s="275" t="str">
        <f>+A74</f>
        <v>Intereses Hipotecarios</v>
      </c>
      <c r="J89" s="276"/>
      <c r="K89" s="276"/>
      <c r="L89" s="276"/>
      <c r="M89" s="277"/>
      <c r="N89" s="42">
        <f>+IF(B74&gt;B119,B119,B74)</f>
        <v>0</v>
      </c>
    </row>
    <row r="90" spans="9:14" s="2" customFormat="1" ht="12">
      <c r="I90" s="275" t="str">
        <f>+A75</f>
        <v>Alquileres</v>
      </c>
      <c r="J90" s="276"/>
      <c r="K90" s="276"/>
      <c r="L90" s="276"/>
      <c r="M90" s="277"/>
      <c r="N90" s="42">
        <f>+IF(B75&gt;B121,B121,B75)</f>
        <v>0</v>
      </c>
    </row>
    <row r="91" spans="9:14" s="2" customFormat="1" ht="12">
      <c r="I91" s="275" t="str">
        <f>+A76</f>
        <v>Aportes Jubilatorios cajas Prov.</v>
      </c>
      <c r="J91" s="276"/>
      <c r="K91" s="276"/>
      <c r="L91" s="276"/>
      <c r="M91" s="277"/>
      <c r="N91" s="42">
        <f>+B76</f>
        <v>0</v>
      </c>
    </row>
    <row r="92" spans="9:14" s="2" customFormat="1" ht="12">
      <c r="I92" s="275" t="str">
        <f>+A77</f>
        <v>Viaticos</v>
      </c>
      <c r="J92" s="276"/>
      <c r="K92" s="276"/>
      <c r="L92" s="276"/>
      <c r="M92" s="277"/>
      <c r="N92" s="42">
        <f>+IF(B77&gt;B120*0.4,B120*0.4,B77)</f>
        <v>33029.65</v>
      </c>
    </row>
    <row r="93" spans="9:14" s="2" customFormat="1" ht="12">
      <c r="I93" s="111" t="s">
        <v>135</v>
      </c>
      <c r="J93" s="112"/>
      <c r="K93" s="112"/>
      <c r="L93" s="112"/>
      <c r="M93" s="113"/>
      <c r="N93" s="114">
        <f>+IF(E1=12,IF(B79&gt;B116,B116,B79),0)</f>
        <v>0</v>
      </c>
    </row>
    <row r="94" spans="9:14" s="2" customFormat="1" ht="12">
      <c r="I94" s="111" t="s">
        <v>136</v>
      </c>
      <c r="J94" s="112"/>
      <c r="K94" s="112"/>
      <c r="L94" s="112"/>
      <c r="M94" s="113"/>
      <c r="N94" s="114">
        <f>+IF(B84&gt;B120,B120,B84)</f>
        <v>0</v>
      </c>
    </row>
    <row r="95" spans="9:14" s="2" customFormat="1" ht="12.75" thickBot="1">
      <c r="I95" s="272" t="str">
        <f>+A78</f>
        <v>Aporte SGR</v>
      </c>
      <c r="J95" s="273"/>
      <c r="K95" s="273"/>
      <c r="L95" s="273"/>
      <c r="M95" s="274"/>
      <c r="N95" s="16">
        <f>+B78</f>
        <v>0</v>
      </c>
    </row>
    <row r="96" s="2" customFormat="1" ht="15.75" customHeight="1" thickBot="1"/>
    <row r="97" spans="9:14" s="2" customFormat="1" ht="12.75" thickBot="1">
      <c r="I97" s="265" t="s">
        <v>81</v>
      </c>
      <c r="J97" s="266"/>
      <c r="K97" s="266"/>
      <c r="L97" s="266"/>
      <c r="M97" s="267"/>
      <c r="N97" s="51">
        <f>+SUM(N85:N96)</f>
        <v>33029.65</v>
      </c>
    </row>
    <row r="98" s="2" customFormat="1" ht="15.75" customHeight="1" thickBot="1"/>
    <row r="99" spans="9:12" s="2" customFormat="1" ht="15.75" customHeight="1" thickBot="1">
      <c r="I99" s="265" t="s">
        <v>82</v>
      </c>
      <c r="J99" s="266"/>
      <c r="K99" s="267"/>
      <c r="L99" s="51">
        <f>+ROUND(N73-N82-N97,2)</f>
        <v>648398.22</v>
      </c>
    </row>
    <row r="100" spans="9:13" s="2" customFormat="1" ht="12.75" thickBot="1">
      <c r="I100" s="265" t="s">
        <v>81</v>
      </c>
      <c r="J100" s="266"/>
      <c r="K100" s="266"/>
      <c r="L100" s="266"/>
      <c r="M100" s="267"/>
    </row>
    <row r="101" spans="9:14" s="2" customFormat="1" ht="12">
      <c r="I101" s="269" t="str">
        <f>+A80</f>
        <v>OBRA SOCIAL PRIVADA</v>
      </c>
      <c r="J101" s="270"/>
      <c r="K101" s="270"/>
      <c r="L101" s="270"/>
      <c r="M101" s="271"/>
      <c r="N101" s="54">
        <f>+IF(B80&gt;B123,B123,B80)</f>
        <v>0</v>
      </c>
    </row>
    <row r="102" spans="9:14" s="2" customFormat="1" ht="12">
      <c r="I102" s="275" t="str">
        <f>+A81</f>
        <v>DONACIONES</v>
      </c>
      <c r="J102" s="276"/>
      <c r="K102" s="276"/>
      <c r="L102" s="276"/>
      <c r="M102" s="277"/>
      <c r="N102" s="42">
        <f>+IF(B81&gt;B122,B122,B81)</f>
        <v>0</v>
      </c>
    </row>
    <row r="103" spans="9:14" s="2" customFormat="1" ht="12.75" thickBot="1">
      <c r="I103" s="272" t="str">
        <f>+A82</f>
        <v>HONORARIOS MEDICOS</v>
      </c>
      <c r="J103" s="273"/>
      <c r="K103" s="273"/>
      <c r="L103" s="273"/>
      <c r="M103" s="274"/>
      <c r="N103" s="16">
        <f>+IF(E1=12,IF(B82&gt;B124,B124,B82),0)</f>
        <v>0</v>
      </c>
    </row>
    <row r="104" s="2" customFormat="1" ht="15.75" customHeight="1" thickBot="1">
      <c r="N104" s="6"/>
    </row>
    <row r="105" spans="9:14" s="2" customFormat="1" ht="12.75" thickBot="1">
      <c r="I105" s="265" t="s">
        <v>83</v>
      </c>
      <c r="J105" s="266"/>
      <c r="K105" s="266"/>
      <c r="L105" s="266"/>
      <c r="M105" s="267"/>
      <c r="N105" s="55">
        <f>+SUM(N101:N104)</f>
        <v>0</v>
      </c>
    </row>
    <row r="106" s="2" customFormat="1" ht="15.75" customHeight="1" thickBot="1">
      <c r="N106" s="6"/>
    </row>
    <row r="107" spans="9:14" s="2" customFormat="1" ht="12.75" thickBot="1">
      <c r="I107" s="265" t="s">
        <v>65</v>
      </c>
      <c r="J107" s="266"/>
      <c r="K107" s="266"/>
      <c r="L107" s="266"/>
      <c r="M107" s="267"/>
      <c r="N107" s="6"/>
    </row>
    <row r="108" spans="9:14" s="2" customFormat="1" ht="12">
      <c r="I108" s="269" t="str">
        <f>+A68</f>
        <v>Cónyuge</v>
      </c>
      <c r="J108" s="270"/>
      <c r="K108" s="270"/>
      <c r="L108" s="270"/>
      <c r="M108" s="271"/>
      <c r="N108" s="54">
        <f>+B68*B114</f>
        <v>0</v>
      </c>
    </row>
    <row r="109" spans="9:14" s="2" customFormat="1" ht="12.75" thickBot="1">
      <c r="I109" s="272" t="str">
        <f>+A69</f>
        <v>Hijos</v>
      </c>
      <c r="J109" s="273"/>
      <c r="K109" s="273"/>
      <c r="L109" s="273"/>
      <c r="M109" s="274"/>
      <c r="N109" s="16">
        <f>+B115*B69</f>
        <v>48527.208</v>
      </c>
    </row>
    <row r="110" spans="9:14" s="2" customFormat="1" ht="15.75" customHeight="1" thickBot="1">
      <c r="I110" s="56"/>
      <c r="J110" s="56"/>
      <c r="K110" s="56"/>
      <c r="L110" s="56"/>
      <c r="M110" s="56"/>
      <c r="N110" s="6"/>
    </row>
    <row r="111" spans="9:14" s="2" customFormat="1" ht="12.75" thickBot="1">
      <c r="I111" s="265" t="s">
        <v>94</v>
      </c>
      <c r="J111" s="266"/>
      <c r="K111" s="266"/>
      <c r="L111" s="266"/>
      <c r="M111" s="267"/>
      <c r="N111" s="51">
        <f>SUM(N108:N110)</f>
        <v>48527.208</v>
      </c>
    </row>
    <row r="112" spans="9:14" s="2" customFormat="1" ht="15.75" customHeight="1" thickBot="1">
      <c r="I112" s="56"/>
      <c r="J112" s="56"/>
      <c r="K112" s="56"/>
      <c r="L112" s="56"/>
      <c r="M112" s="56"/>
      <c r="N112" s="6"/>
    </row>
    <row r="113" spans="1:14" s="2" customFormat="1" ht="12.75" thickBot="1">
      <c r="A113" s="268" t="s">
        <v>73</v>
      </c>
      <c r="B113" s="268"/>
      <c r="I113" s="265" t="s">
        <v>66</v>
      </c>
      <c r="J113" s="266"/>
      <c r="K113" s="266"/>
      <c r="L113" s="266"/>
      <c r="M113" s="267"/>
      <c r="N113" s="6"/>
    </row>
    <row r="114" spans="1:14" s="2" customFormat="1" ht="12.75" thickBot="1">
      <c r="A114" s="57" t="s">
        <v>36</v>
      </c>
      <c r="B114" s="21">
        <f>+HLOOKUP($E$1,$B$155:$M$165,4,0)</f>
        <v>96226.15</v>
      </c>
      <c r="I114" s="269" t="s">
        <v>35</v>
      </c>
      <c r="J114" s="270"/>
      <c r="K114" s="270"/>
      <c r="L114" s="270"/>
      <c r="M114" s="271"/>
      <c r="N114" s="54">
        <f>+HLOOKUP($E$1,$B$155:$M$165,3,0)</f>
        <v>103217.64199999999</v>
      </c>
    </row>
    <row r="115" spans="1:14" s="2" customFormat="1" ht="12.75" thickBot="1">
      <c r="A115" s="58" t="s">
        <v>37</v>
      </c>
      <c r="B115" s="21">
        <f>+HLOOKUP($E$1,$B$155:$M$165,5,0)</f>
        <v>48527.208</v>
      </c>
      <c r="I115" s="272" t="s">
        <v>67</v>
      </c>
      <c r="J115" s="273"/>
      <c r="K115" s="273"/>
      <c r="L115" s="273"/>
      <c r="M115" s="274"/>
      <c r="N115" s="16">
        <f>+HLOOKUP($E$1,$B$155:$M$165,6,0)</f>
        <v>495444.68</v>
      </c>
    </row>
    <row r="116" spans="1:13" s="2" customFormat="1" ht="15.75" customHeight="1" thickBot="1">
      <c r="A116" s="58" t="s">
        <v>74</v>
      </c>
      <c r="B116" s="21">
        <f>+HLOOKUP($E$1,$B$155:$M$165,8,0)</f>
        <v>0</v>
      </c>
      <c r="I116" s="56"/>
      <c r="J116" s="56"/>
      <c r="K116" s="56"/>
      <c r="L116" s="56"/>
      <c r="M116" s="56"/>
    </row>
    <row r="117" spans="1:14" s="2" customFormat="1" ht="12.75" thickBot="1">
      <c r="A117" s="58" t="s">
        <v>130</v>
      </c>
      <c r="B117" s="21">
        <f>+HLOOKUP($E$1,$B$155:$M$165,8,0)</f>
        <v>0</v>
      </c>
      <c r="I117" s="265" t="s">
        <v>84</v>
      </c>
      <c r="J117" s="266"/>
      <c r="K117" s="266"/>
      <c r="L117" s="266"/>
      <c r="M117" s="267"/>
      <c r="N117" s="55">
        <f>+SUM(N114:N115)</f>
        <v>598662.3219999999</v>
      </c>
    </row>
    <row r="118" spans="1:14" s="2" customFormat="1" ht="12.75" thickBot="1">
      <c r="A118" s="58" t="s">
        <v>75</v>
      </c>
      <c r="B118" s="21">
        <f>+HLOOKUP($E$1,$B$155:$M$165,9,0)</f>
        <v>830.192</v>
      </c>
      <c r="I118" s="56"/>
      <c r="J118" s="56"/>
      <c r="K118" s="56"/>
      <c r="L118" s="56"/>
      <c r="M118" s="56"/>
      <c r="N118" s="6"/>
    </row>
    <row r="119" spans="1:14" s="2" customFormat="1" ht="12.75" thickBot="1">
      <c r="A119" s="58" t="s">
        <v>76</v>
      </c>
      <c r="B119" s="21">
        <f>+HLOOKUP($E$1,$B$155:$M$165,10,0)</f>
        <v>16666.667</v>
      </c>
      <c r="I119" s="257" t="s">
        <v>69</v>
      </c>
      <c r="J119" s="258"/>
      <c r="K119" s="258"/>
      <c r="L119" s="37"/>
      <c r="M119" s="37"/>
      <c r="N119" s="51">
        <f>+N73-N82-N97-N105-N111-N117+N137</f>
        <v>1208.6924466667697</v>
      </c>
    </row>
    <row r="120" spans="1:14" s="2" customFormat="1" ht="12.75" thickBot="1">
      <c r="A120" s="58" t="s">
        <v>77</v>
      </c>
      <c r="B120" s="21">
        <f>+HLOOKUP($E$1,$B$155:$M$165,7,0)</f>
        <v>103217.64199999999</v>
      </c>
      <c r="I120" s="257" t="s">
        <v>110</v>
      </c>
      <c r="J120" s="258"/>
      <c r="K120" s="258"/>
      <c r="L120" s="37"/>
      <c r="M120" s="37"/>
      <c r="N120" s="51">
        <f>+N73-N82-N97-N105-N111-N117+N137-N148</f>
        <v>1208.6924466667697</v>
      </c>
    </row>
    <row r="121" spans="1:14" s="2" customFormat="1" ht="12.75" thickBot="1">
      <c r="A121" s="58" t="s">
        <v>43</v>
      </c>
      <c r="B121" s="21">
        <f>+B120</f>
        <v>103217.64199999999</v>
      </c>
      <c r="I121" s="257" t="s">
        <v>86</v>
      </c>
      <c r="J121" s="258"/>
      <c r="K121" s="258"/>
      <c r="L121" s="60"/>
      <c r="M121" s="60"/>
      <c r="N121" s="61">
        <f>IF(AND(N120&lt;0,N119&gt;0),N119*0.05,IF(N119&gt;0,ROUND(LOOKUP(N120,B55:D63)+((N119-LOOKUP(N120,B55:F63))*LOOKUP(N120,B55:E63)/100),2),0))</f>
        <v>60.43</v>
      </c>
    </row>
    <row r="122" spans="1:14" s="2" customFormat="1" ht="12.75" thickBot="1">
      <c r="A122" s="59" t="s">
        <v>79</v>
      </c>
      <c r="B122" s="21">
        <f>+L99*5%</f>
        <v>32419.911</v>
      </c>
      <c r="N122" s="6"/>
    </row>
    <row r="123" spans="1:16" s="2" customFormat="1" ht="27" thickBot="1">
      <c r="A123" s="58" t="s">
        <v>78</v>
      </c>
      <c r="B123" s="21">
        <f>+B122</f>
        <v>32419.911</v>
      </c>
      <c r="I123" s="120" t="s">
        <v>71</v>
      </c>
      <c r="J123" s="121"/>
      <c r="K123" s="121"/>
      <c r="L123" s="122"/>
      <c r="M123" s="122"/>
      <c r="N123" s="123">
        <f>+O35</f>
        <v>0</v>
      </c>
      <c r="P123" s="6"/>
    </row>
    <row r="124" spans="1:16" s="2" customFormat="1" ht="27" thickBot="1">
      <c r="A124" s="62" t="s">
        <v>80</v>
      </c>
      <c r="B124" s="21">
        <f>+B123</f>
        <v>32419.911</v>
      </c>
      <c r="I124" s="124" t="s">
        <v>85</v>
      </c>
      <c r="J124" s="125"/>
      <c r="K124" s="125"/>
      <c r="L124" s="126"/>
      <c r="M124" s="126"/>
      <c r="N124" s="127">
        <f>IF(E1=12,+B125,0)</f>
        <v>0</v>
      </c>
      <c r="P124" s="6"/>
    </row>
    <row r="125" spans="1:14" ht="27" thickBot="1">
      <c r="A125" s="15" t="s">
        <v>85</v>
      </c>
      <c r="B125" s="21">
        <f>+IF(B83&gt;N121,N121,B83)</f>
        <v>0</v>
      </c>
      <c r="I125" s="124" t="s">
        <v>70</v>
      </c>
      <c r="J125" s="125"/>
      <c r="K125" s="125"/>
      <c r="L125" s="128"/>
      <c r="M125" s="128"/>
      <c r="N125" s="129">
        <f>+N121-N123-N124</f>
        <v>60.43</v>
      </c>
    </row>
    <row r="126" s="2" customFormat="1" ht="12.75" thickBot="1"/>
    <row r="127" spans="1:13" s="2" customFormat="1" ht="12">
      <c r="A127" s="7" t="str">
        <f>+A4</f>
        <v>Tabla</v>
      </c>
      <c r="B127" s="7">
        <f aca="true" t="shared" si="30" ref="B127:M127">+B4</f>
        <v>1</v>
      </c>
      <c r="C127" s="7">
        <f t="shared" si="30"/>
        <v>2</v>
      </c>
      <c r="D127" s="7">
        <f t="shared" si="30"/>
        <v>3</v>
      </c>
      <c r="E127" s="7">
        <f t="shared" si="30"/>
        <v>4</v>
      </c>
      <c r="F127" s="7">
        <f t="shared" si="30"/>
        <v>5</v>
      </c>
      <c r="G127" s="7">
        <f t="shared" si="30"/>
        <v>6</v>
      </c>
      <c r="H127" s="7">
        <f t="shared" si="30"/>
        <v>7</v>
      </c>
      <c r="I127" s="7">
        <f t="shared" si="30"/>
        <v>8</v>
      </c>
      <c r="J127" s="7">
        <f t="shared" si="30"/>
        <v>9</v>
      </c>
      <c r="K127" s="7">
        <f t="shared" si="30"/>
        <v>10</v>
      </c>
      <c r="L127" s="7">
        <f t="shared" si="30"/>
        <v>11</v>
      </c>
      <c r="M127" s="7">
        <f t="shared" si="30"/>
        <v>12</v>
      </c>
    </row>
    <row r="128" spans="1:14" s="2" customFormat="1" ht="12">
      <c r="A128" s="11" t="s">
        <v>112</v>
      </c>
      <c r="B128" s="12">
        <f>+B8*0.5</f>
        <v>0</v>
      </c>
      <c r="C128" s="12">
        <f>+C8*0.5</f>
        <v>0</v>
      </c>
      <c r="D128" s="12">
        <f>+D8*0.5</f>
        <v>0</v>
      </c>
      <c r="E128" s="12">
        <f>+E8*0.5</f>
        <v>0</v>
      </c>
      <c r="F128" s="12">
        <f aca="true" t="shared" si="31" ref="F128:M128">+F8*0.5</f>
        <v>0</v>
      </c>
      <c r="G128" s="12">
        <f t="shared" si="31"/>
        <v>0</v>
      </c>
      <c r="H128" s="12">
        <f t="shared" si="31"/>
        <v>0</v>
      </c>
      <c r="I128" s="12">
        <f t="shared" si="31"/>
        <v>0</v>
      </c>
      <c r="J128" s="12">
        <f t="shared" si="31"/>
        <v>0</v>
      </c>
      <c r="K128" s="12">
        <f t="shared" si="31"/>
        <v>0</v>
      </c>
      <c r="L128" s="12">
        <f t="shared" si="31"/>
        <v>0</v>
      </c>
      <c r="M128" s="12">
        <f t="shared" si="31"/>
        <v>0</v>
      </c>
      <c r="N128" s="13">
        <f>+SUM(B128:M128)</f>
        <v>0</v>
      </c>
    </row>
    <row r="129" spans="1:14" s="2" customFormat="1" ht="12">
      <c r="A129" s="11" t="s">
        <v>111</v>
      </c>
      <c r="B129" s="12">
        <f>+B9*0.666666667</f>
        <v>0</v>
      </c>
      <c r="C129" s="12">
        <f aca="true" t="shared" si="32" ref="C129:M129">+C9*0.666666667</f>
        <v>0</v>
      </c>
      <c r="D129" s="12">
        <f t="shared" si="32"/>
        <v>0</v>
      </c>
      <c r="E129" s="12">
        <f t="shared" si="32"/>
        <v>0</v>
      </c>
      <c r="F129" s="12">
        <f t="shared" si="32"/>
        <v>0</v>
      </c>
      <c r="G129" s="12">
        <f t="shared" si="32"/>
        <v>0</v>
      </c>
      <c r="H129" s="12">
        <f t="shared" si="32"/>
        <v>0</v>
      </c>
      <c r="I129" s="12">
        <f t="shared" si="32"/>
        <v>0</v>
      </c>
      <c r="J129" s="12">
        <f t="shared" si="32"/>
        <v>0</v>
      </c>
      <c r="K129" s="12">
        <f t="shared" si="32"/>
        <v>0</v>
      </c>
      <c r="L129" s="12">
        <f t="shared" si="32"/>
        <v>0</v>
      </c>
      <c r="M129" s="12">
        <f t="shared" si="32"/>
        <v>0</v>
      </c>
      <c r="N129" s="13">
        <f>+SUM(B129:M129)</f>
        <v>0</v>
      </c>
    </row>
    <row r="130" spans="1:14" s="2" customFormat="1" ht="12">
      <c r="A130" s="57" t="s">
        <v>115</v>
      </c>
      <c r="B130" s="39">
        <f>+B128+B129</f>
        <v>0</v>
      </c>
      <c r="C130" s="39">
        <f aca="true" t="shared" si="33" ref="C130:M130">+C128+C129</f>
        <v>0</v>
      </c>
      <c r="D130" s="39">
        <f t="shared" si="33"/>
        <v>0</v>
      </c>
      <c r="E130" s="39">
        <f t="shared" si="33"/>
        <v>0</v>
      </c>
      <c r="F130" s="39">
        <f t="shared" si="33"/>
        <v>0</v>
      </c>
      <c r="G130" s="39">
        <f t="shared" si="33"/>
        <v>0</v>
      </c>
      <c r="H130" s="39">
        <f t="shared" si="33"/>
        <v>0</v>
      </c>
      <c r="I130" s="39">
        <f t="shared" si="33"/>
        <v>0</v>
      </c>
      <c r="J130" s="39">
        <f t="shared" si="33"/>
        <v>0</v>
      </c>
      <c r="K130" s="39">
        <f t="shared" si="33"/>
        <v>0</v>
      </c>
      <c r="L130" s="39">
        <f t="shared" si="33"/>
        <v>0</v>
      </c>
      <c r="M130" s="39">
        <f t="shared" si="33"/>
        <v>0</v>
      </c>
      <c r="N130" s="39"/>
    </row>
    <row r="131" s="2" customFormat="1" ht="12.75" thickBot="1"/>
    <row r="132" spans="1:14" s="2" customFormat="1" ht="12">
      <c r="A132" s="8" t="s">
        <v>15</v>
      </c>
      <c r="B132" s="9">
        <f>+B130*0.11</f>
        <v>0</v>
      </c>
      <c r="C132" s="9">
        <f>+C130*0.11</f>
        <v>0</v>
      </c>
      <c r="D132" s="9">
        <f>+D130*0.11</f>
        <v>0</v>
      </c>
      <c r="E132" s="9">
        <f>+E130*0.11</f>
        <v>0</v>
      </c>
      <c r="F132" s="9">
        <f aca="true" t="shared" si="34" ref="F132:M132">+F130*0.11</f>
        <v>0</v>
      </c>
      <c r="G132" s="9">
        <f t="shared" si="34"/>
        <v>0</v>
      </c>
      <c r="H132" s="9">
        <f t="shared" si="34"/>
        <v>0</v>
      </c>
      <c r="I132" s="9">
        <f t="shared" si="34"/>
        <v>0</v>
      </c>
      <c r="J132" s="9">
        <f t="shared" si="34"/>
        <v>0</v>
      </c>
      <c r="K132" s="9">
        <f t="shared" si="34"/>
        <v>0</v>
      </c>
      <c r="L132" s="9">
        <f t="shared" si="34"/>
        <v>0</v>
      </c>
      <c r="M132" s="9">
        <f t="shared" si="34"/>
        <v>0</v>
      </c>
      <c r="N132" s="10">
        <f>+SUM(B132:M132)</f>
        <v>0</v>
      </c>
    </row>
    <row r="133" spans="1:16" s="2" customFormat="1" ht="12">
      <c r="A133" s="11" t="s">
        <v>19</v>
      </c>
      <c r="B133" s="12">
        <f>+B132/11*3</f>
        <v>0</v>
      </c>
      <c r="C133" s="12">
        <f>+C132/11*3</f>
        <v>0</v>
      </c>
      <c r="D133" s="12">
        <f>+D132/11*3</f>
        <v>0</v>
      </c>
      <c r="E133" s="12">
        <f>+E132/11*3</f>
        <v>0</v>
      </c>
      <c r="F133" s="12">
        <f aca="true" t="shared" si="35" ref="F133:M133">+F132/11*3</f>
        <v>0</v>
      </c>
      <c r="G133" s="12">
        <f t="shared" si="35"/>
        <v>0</v>
      </c>
      <c r="H133" s="12">
        <f t="shared" si="35"/>
        <v>0</v>
      </c>
      <c r="I133" s="12">
        <f t="shared" si="35"/>
        <v>0</v>
      </c>
      <c r="J133" s="12">
        <f t="shared" si="35"/>
        <v>0</v>
      </c>
      <c r="K133" s="12">
        <f t="shared" si="35"/>
        <v>0</v>
      </c>
      <c r="L133" s="12">
        <f t="shared" si="35"/>
        <v>0</v>
      </c>
      <c r="M133" s="12">
        <f t="shared" si="35"/>
        <v>0</v>
      </c>
      <c r="N133" s="13">
        <f>+SUM(B133:M133)</f>
        <v>0</v>
      </c>
      <c r="P133" s="6"/>
    </row>
    <row r="134" spans="1:14" s="2" customFormat="1" ht="12">
      <c r="A134" s="11" t="s">
        <v>20</v>
      </c>
      <c r="B134" s="12">
        <f>+B133</f>
        <v>0</v>
      </c>
      <c r="C134" s="12">
        <f>+C133</f>
        <v>0</v>
      </c>
      <c r="D134" s="12">
        <f>+D133</f>
        <v>0</v>
      </c>
      <c r="E134" s="12">
        <f>+E133</f>
        <v>0</v>
      </c>
      <c r="F134" s="12">
        <f aca="true" t="shared" si="36" ref="F134:M134">+F133</f>
        <v>0</v>
      </c>
      <c r="G134" s="12">
        <f t="shared" si="36"/>
        <v>0</v>
      </c>
      <c r="H134" s="12">
        <f t="shared" si="36"/>
        <v>0</v>
      </c>
      <c r="I134" s="12">
        <f t="shared" si="36"/>
        <v>0</v>
      </c>
      <c r="J134" s="12">
        <f t="shared" si="36"/>
        <v>0</v>
      </c>
      <c r="K134" s="12">
        <f t="shared" si="36"/>
        <v>0</v>
      </c>
      <c r="L134" s="12">
        <f t="shared" si="36"/>
        <v>0</v>
      </c>
      <c r="M134" s="12">
        <f t="shared" si="36"/>
        <v>0</v>
      </c>
      <c r="N134" s="13">
        <f>+SUM(B134:M134)</f>
        <v>0</v>
      </c>
    </row>
    <row r="135" spans="1:14" s="2" customFormat="1" ht="12">
      <c r="A135" s="11" t="s">
        <v>22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3">
        <f>+SUM(B135:M135)</f>
        <v>0</v>
      </c>
    </row>
    <row r="136" spans="1:14" s="2" customFormat="1" ht="12">
      <c r="A136" s="11" t="s">
        <v>21</v>
      </c>
      <c r="B136" s="12">
        <f>+B134/3*1</f>
        <v>0</v>
      </c>
      <c r="C136" s="12">
        <f aca="true" t="shared" si="37" ref="C136:M136">+C134/3*1</f>
        <v>0</v>
      </c>
      <c r="D136" s="12">
        <f t="shared" si="37"/>
        <v>0</v>
      </c>
      <c r="E136" s="12">
        <f t="shared" si="37"/>
        <v>0</v>
      </c>
      <c r="F136" s="12">
        <f t="shared" si="37"/>
        <v>0</v>
      </c>
      <c r="G136" s="12">
        <f t="shared" si="37"/>
        <v>0</v>
      </c>
      <c r="H136" s="12">
        <f t="shared" si="37"/>
        <v>0</v>
      </c>
      <c r="I136" s="12">
        <f t="shared" si="37"/>
        <v>0</v>
      </c>
      <c r="J136" s="12">
        <f t="shared" si="37"/>
        <v>0</v>
      </c>
      <c r="K136" s="12">
        <f t="shared" si="37"/>
        <v>0</v>
      </c>
      <c r="L136" s="12">
        <f t="shared" si="37"/>
        <v>0</v>
      </c>
      <c r="M136" s="12">
        <f t="shared" si="37"/>
        <v>0</v>
      </c>
      <c r="N136" s="13">
        <f>+SUM(B136:M136)</f>
        <v>0</v>
      </c>
    </row>
    <row r="137" spans="14:17" s="2" customFormat="1" ht="12">
      <c r="N137" s="6">
        <f>SUM(N132:N136)</f>
        <v>0</v>
      </c>
      <c r="Q137" s="6"/>
    </row>
    <row r="139" spans="1:14" s="2" customFormat="1" ht="12">
      <c r="A139" s="11" t="str">
        <f>+A8</f>
        <v>HORAS EXTRAS 100% EXCENTAS</v>
      </c>
      <c r="B139" s="12">
        <f>+B8*0.5</f>
        <v>0</v>
      </c>
      <c r="C139" s="12">
        <f>+C8*0.5</f>
        <v>0</v>
      </c>
      <c r="D139" s="12">
        <f>+D8*0.5</f>
        <v>0</v>
      </c>
      <c r="E139" s="12">
        <f>+E8*0.5</f>
        <v>0</v>
      </c>
      <c r="F139" s="12">
        <f aca="true" t="shared" si="38" ref="F139:M139">+F8*0.5</f>
        <v>0</v>
      </c>
      <c r="G139" s="12">
        <f t="shared" si="38"/>
        <v>0</v>
      </c>
      <c r="H139" s="12">
        <f t="shared" si="38"/>
        <v>0</v>
      </c>
      <c r="I139" s="12">
        <f t="shared" si="38"/>
        <v>0</v>
      </c>
      <c r="J139" s="12">
        <f t="shared" si="38"/>
        <v>0</v>
      </c>
      <c r="K139" s="12">
        <f t="shared" si="38"/>
        <v>0</v>
      </c>
      <c r="L139" s="12">
        <f t="shared" si="38"/>
        <v>0</v>
      </c>
      <c r="M139" s="12">
        <f t="shared" si="38"/>
        <v>0</v>
      </c>
      <c r="N139" s="13">
        <f>+SUM(B139:M139)</f>
        <v>0</v>
      </c>
    </row>
    <row r="140" spans="1:14" s="2" customFormat="1" ht="12">
      <c r="A140" s="11" t="str">
        <f>+A9</f>
        <v>HORAS EXTRAS 50% EXCENTAS</v>
      </c>
      <c r="B140" s="12">
        <f>+B9*0.666666667</f>
        <v>0</v>
      </c>
      <c r="C140" s="12">
        <f aca="true" t="shared" si="39" ref="C140:M140">+C9*0.666666667</f>
        <v>0</v>
      </c>
      <c r="D140" s="12">
        <f t="shared" si="39"/>
        <v>0</v>
      </c>
      <c r="E140" s="12">
        <f t="shared" si="39"/>
        <v>0</v>
      </c>
      <c r="F140" s="12">
        <f t="shared" si="39"/>
        <v>0</v>
      </c>
      <c r="G140" s="12">
        <f t="shared" si="39"/>
        <v>0</v>
      </c>
      <c r="H140" s="12">
        <f t="shared" si="39"/>
        <v>0</v>
      </c>
      <c r="I140" s="12">
        <f t="shared" si="39"/>
        <v>0</v>
      </c>
      <c r="J140" s="12">
        <f t="shared" si="39"/>
        <v>0</v>
      </c>
      <c r="K140" s="12">
        <f t="shared" si="39"/>
        <v>0</v>
      </c>
      <c r="L140" s="12">
        <f t="shared" si="39"/>
        <v>0</v>
      </c>
      <c r="M140" s="12">
        <f t="shared" si="39"/>
        <v>0</v>
      </c>
      <c r="N140" s="13">
        <f>+SUM(B140:M140)</f>
        <v>0</v>
      </c>
    </row>
    <row r="141" spans="1:14" s="2" customFormat="1" ht="12">
      <c r="A141" s="11" t="str">
        <f>+A10</f>
        <v>HORAS EXTRAS 50%</v>
      </c>
      <c r="B141" s="12">
        <f aca="true" t="shared" si="40" ref="B141:M141">+B10</f>
        <v>0</v>
      </c>
      <c r="C141" s="12">
        <f t="shared" si="40"/>
        <v>0</v>
      </c>
      <c r="D141" s="12">
        <f t="shared" si="40"/>
        <v>0</v>
      </c>
      <c r="E141" s="12">
        <f t="shared" si="40"/>
        <v>0</v>
      </c>
      <c r="F141" s="12">
        <f t="shared" si="40"/>
        <v>0</v>
      </c>
      <c r="G141" s="12">
        <f t="shared" si="40"/>
        <v>0</v>
      </c>
      <c r="H141" s="12">
        <f t="shared" si="40"/>
        <v>0</v>
      </c>
      <c r="I141" s="12">
        <f t="shared" si="40"/>
        <v>0</v>
      </c>
      <c r="J141" s="12">
        <f t="shared" si="40"/>
        <v>0</v>
      </c>
      <c r="K141" s="12">
        <f t="shared" si="40"/>
        <v>0</v>
      </c>
      <c r="L141" s="12">
        <f t="shared" si="40"/>
        <v>0</v>
      </c>
      <c r="M141" s="12">
        <f t="shared" si="40"/>
        <v>0</v>
      </c>
      <c r="N141" s="13">
        <f>+SUM(B141:M141)</f>
        <v>0</v>
      </c>
    </row>
    <row r="142" spans="1:14" s="2" customFormat="1" ht="12.75" thickBot="1">
      <c r="A142" s="57" t="s">
        <v>115</v>
      </c>
      <c r="B142" s="39">
        <f>+SUM(B139:B141)</f>
        <v>0</v>
      </c>
      <c r="C142" s="39">
        <f aca="true" t="shared" si="41" ref="C142:M142">+SUM(C139:C141)</f>
        <v>0</v>
      </c>
      <c r="D142" s="39">
        <f t="shared" si="41"/>
        <v>0</v>
      </c>
      <c r="E142" s="39">
        <f t="shared" si="41"/>
        <v>0</v>
      </c>
      <c r="F142" s="39">
        <f t="shared" si="41"/>
        <v>0</v>
      </c>
      <c r="G142" s="39">
        <f t="shared" si="41"/>
        <v>0</v>
      </c>
      <c r="H142" s="39">
        <f t="shared" si="41"/>
        <v>0</v>
      </c>
      <c r="I142" s="39">
        <f t="shared" si="41"/>
        <v>0</v>
      </c>
      <c r="J142" s="39">
        <f t="shared" si="41"/>
        <v>0</v>
      </c>
      <c r="K142" s="39">
        <f t="shared" si="41"/>
        <v>0</v>
      </c>
      <c r="L142" s="39">
        <f t="shared" si="41"/>
        <v>0</v>
      </c>
      <c r="M142" s="39">
        <f t="shared" si="41"/>
        <v>0</v>
      </c>
      <c r="N142" s="39">
        <f>+SUM(N139:N141)</f>
        <v>0</v>
      </c>
    </row>
    <row r="143" spans="1:14" s="2" customFormat="1" ht="12">
      <c r="A143" s="8" t="s">
        <v>15</v>
      </c>
      <c r="B143" s="9">
        <f>+B142*0.11</f>
        <v>0</v>
      </c>
      <c r="C143" s="9">
        <f>+C142*0.11</f>
        <v>0</v>
      </c>
      <c r="D143" s="9">
        <f>+D142*0.11</f>
        <v>0</v>
      </c>
      <c r="E143" s="9">
        <f>+E142*0.11</f>
        <v>0</v>
      </c>
      <c r="F143" s="9">
        <f aca="true" t="shared" si="42" ref="F143:M143">+F142*0.11</f>
        <v>0</v>
      </c>
      <c r="G143" s="9">
        <f t="shared" si="42"/>
        <v>0</v>
      </c>
      <c r="H143" s="9">
        <f t="shared" si="42"/>
        <v>0</v>
      </c>
      <c r="I143" s="9">
        <f t="shared" si="42"/>
        <v>0</v>
      </c>
      <c r="J143" s="9">
        <f t="shared" si="42"/>
        <v>0</v>
      </c>
      <c r="K143" s="9">
        <f t="shared" si="42"/>
        <v>0</v>
      </c>
      <c r="L143" s="9">
        <f t="shared" si="42"/>
        <v>0</v>
      </c>
      <c r="M143" s="9">
        <f t="shared" si="42"/>
        <v>0</v>
      </c>
      <c r="N143" s="10">
        <f>+SUM(B143:M143)</f>
        <v>0</v>
      </c>
    </row>
    <row r="144" spans="1:14" s="2" customFormat="1" ht="12">
      <c r="A144" s="11" t="s">
        <v>19</v>
      </c>
      <c r="B144" s="12">
        <f>+B143/11*3</f>
        <v>0</v>
      </c>
      <c r="C144" s="12">
        <f>+C143/11*3</f>
        <v>0</v>
      </c>
      <c r="D144" s="12">
        <f>+D143/11*3</f>
        <v>0</v>
      </c>
      <c r="E144" s="12">
        <f>+E143/11*3</f>
        <v>0</v>
      </c>
      <c r="F144" s="12">
        <f aca="true" t="shared" si="43" ref="F144:M144">+F143/11*3</f>
        <v>0</v>
      </c>
      <c r="G144" s="12">
        <f t="shared" si="43"/>
        <v>0</v>
      </c>
      <c r="H144" s="12">
        <f t="shared" si="43"/>
        <v>0</v>
      </c>
      <c r="I144" s="12">
        <f t="shared" si="43"/>
        <v>0</v>
      </c>
      <c r="J144" s="12">
        <f t="shared" si="43"/>
        <v>0</v>
      </c>
      <c r="K144" s="12">
        <f t="shared" si="43"/>
        <v>0</v>
      </c>
      <c r="L144" s="12">
        <f t="shared" si="43"/>
        <v>0</v>
      </c>
      <c r="M144" s="12">
        <f t="shared" si="43"/>
        <v>0</v>
      </c>
      <c r="N144" s="13">
        <f>+SUM(B144:M144)</f>
        <v>0</v>
      </c>
    </row>
    <row r="145" spans="1:14" s="2" customFormat="1" ht="12">
      <c r="A145" s="11" t="s">
        <v>20</v>
      </c>
      <c r="B145" s="12">
        <f>+B144</f>
        <v>0</v>
      </c>
      <c r="C145" s="12">
        <f>+C144</f>
        <v>0</v>
      </c>
      <c r="D145" s="12">
        <f>+D144</f>
        <v>0</v>
      </c>
      <c r="E145" s="12">
        <f>+E144</f>
        <v>0</v>
      </c>
      <c r="F145" s="12">
        <f aca="true" t="shared" si="44" ref="F145:M145">+F144</f>
        <v>0</v>
      </c>
      <c r="G145" s="12">
        <f t="shared" si="44"/>
        <v>0</v>
      </c>
      <c r="H145" s="12">
        <f t="shared" si="44"/>
        <v>0</v>
      </c>
      <c r="I145" s="12">
        <f t="shared" si="44"/>
        <v>0</v>
      </c>
      <c r="J145" s="12">
        <f t="shared" si="44"/>
        <v>0</v>
      </c>
      <c r="K145" s="12">
        <f t="shared" si="44"/>
        <v>0</v>
      </c>
      <c r="L145" s="12">
        <f t="shared" si="44"/>
        <v>0</v>
      </c>
      <c r="M145" s="12">
        <f t="shared" si="44"/>
        <v>0</v>
      </c>
      <c r="N145" s="13">
        <f>+SUM(B145:M145)</f>
        <v>0</v>
      </c>
    </row>
    <row r="146" spans="1:14" s="2" customFormat="1" ht="12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3">
        <f>+SUM(B146:M146)</f>
        <v>0</v>
      </c>
    </row>
    <row r="147" spans="1:14" s="2" customFormat="1" ht="12">
      <c r="A147" s="11" t="s">
        <v>21</v>
      </c>
      <c r="B147" s="12">
        <f>+B145/3*1</f>
        <v>0</v>
      </c>
      <c r="C147" s="12">
        <f aca="true" t="shared" si="45" ref="C147:M147">+C145/3*1</f>
        <v>0</v>
      </c>
      <c r="D147" s="12">
        <f t="shared" si="45"/>
        <v>0</v>
      </c>
      <c r="E147" s="12">
        <f t="shared" si="45"/>
        <v>0</v>
      </c>
      <c r="F147" s="12">
        <f t="shared" si="45"/>
        <v>0</v>
      </c>
      <c r="G147" s="12">
        <f t="shared" si="45"/>
        <v>0</v>
      </c>
      <c r="H147" s="12">
        <f t="shared" si="45"/>
        <v>0</v>
      </c>
      <c r="I147" s="12">
        <f t="shared" si="45"/>
        <v>0</v>
      </c>
      <c r="J147" s="12">
        <f t="shared" si="45"/>
        <v>0</v>
      </c>
      <c r="K147" s="12">
        <f t="shared" si="45"/>
        <v>0</v>
      </c>
      <c r="L147" s="12">
        <f t="shared" si="45"/>
        <v>0</v>
      </c>
      <c r="M147" s="12">
        <f t="shared" si="45"/>
        <v>0</v>
      </c>
      <c r="N147" s="13">
        <f>+SUM(B147:M147)</f>
        <v>0</v>
      </c>
    </row>
    <row r="148" spans="1:14" s="2" customFormat="1" ht="12">
      <c r="A148" s="2" t="s">
        <v>114</v>
      </c>
      <c r="B148" s="6">
        <f>+B142-B143-B144-B145-B146-B147</f>
        <v>0</v>
      </c>
      <c r="C148" s="6">
        <f>+C142-C143-C144-C145-C146-C147</f>
        <v>0</v>
      </c>
      <c r="D148" s="6">
        <f>+D142-D143-D144-D145-D146-D147</f>
        <v>0</v>
      </c>
      <c r="E148" s="6">
        <f aca="true" t="shared" si="46" ref="E148:M148">+E142-E143-E144-E145-E146-E147</f>
        <v>0</v>
      </c>
      <c r="F148" s="6">
        <f t="shared" si="46"/>
        <v>0</v>
      </c>
      <c r="G148" s="6">
        <f t="shared" si="46"/>
        <v>0</v>
      </c>
      <c r="H148" s="6">
        <f t="shared" si="46"/>
        <v>0</v>
      </c>
      <c r="I148" s="6">
        <f t="shared" si="46"/>
        <v>0</v>
      </c>
      <c r="J148" s="6">
        <f t="shared" si="46"/>
        <v>0</v>
      </c>
      <c r="K148" s="6">
        <f t="shared" si="46"/>
        <v>0</v>
      </c>
      <c r="L148" s="6">
        <f t="shared" si="46"/>
        <v>0</v>
      </c>
      <c r="M148" s="6">
        <f t="shared" si="46"/>
        <v>0</v>
      </c>
      <c r="N148" s="6">
        <f>+N142-N143-N144-N145-N146-N147</f>
        <v>0</v>
      </c>
    </row>
    <row r="149" ht="12">
      <c r="D149" s="6"/>
    </row>
    <row r="150" ht="12">
      <c r="N150" s="6"/>
    </row>
    <row r="151" ht="12.75" thickBot="1">
      <c r="E151" s="56" t="s">
        <v>97</v>
      </c>
    </row>
    <row r="152" spans="1:17" ht="12.75" thickBot="1">
      <c r="A152" s="69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1"/>
    </row>
    <row r="153" spans="1:17" ht="12.75" thickBot="1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P153" s="72"/>
      <c r="Q153" s="72"/>
    </row>
    <row r="154" spans="1:17" ht="12.75" thickBot="1">
      <c r="A154" s="259" t="s">
        <v>128</v>
      </c>
      <c r="B154" s="260"/>
      <c r="C154" s="260"/>
      <c r="D154" s="260"/>
      <c r="E154" s="260"/>
      <c r="F154" s="260"/>
      <c r="G154" s="260"/>
      <c r="H154" s="260"/>
      <c r="I154" s="260"/>
      <c r="J154" s="260"/>
      <c r="K154" s="260"/>
      <c r="L154" s="260"/>
      <c r="M154" s="261"/>
      <c r="N154" s="72"/>
      <c r="P154" s="72"/>
      <c r="Q154" s="72"/>
    </row>
    <row r="155" spans="1:17" ht="12.75" thickBot="1">
      <c r="A155" s="73"/>
      <c r="B155" s="73">
        <v>1</v>
      </c>
      <c r="C155" s="73">
        <v>2</v>
      </c>
      <c r="D155" s="73">
        <v>3</v>
      </c>
      <c r="E155" s="73">
        <v>4</v>
      </c>
      <c r="F155" s="73">
        <v>5</v>
      </c>
      <c r="G155" s="73">
        <v>6</v>
      </c>
      <c r="H155" s="73">
        <v>7</v>
      </c>
      <c r="I155" s="73">
        <v>8</v>
      </c>
      <c r="J155" s="73">
        <v>9</v>
      </c>
      <c r="K155" s="73">
        <v>10</v>
      </c>
      <c r="L155" s="73">
        <v>11</v>
      </c>
      <c r="M155" s="73">
        <v>12</v>
      </c>
      <c r="N155" s="72"/>
      <c r="P155" s="72"/>
      <c r="Q155" s="72"/>
    </row>
    <row r="156" spans="1:17" ht="12">
      <c r="A156" s="74" t="s">
        <v>96</v>
      </c>
      <c r="B156" s="75">
        <v>43831</v>
      </c>
      <c r="C156" s="75">
        <v>43862</v>
      </c>
      <c r="D156" s="75">
        <v>43891</v>
      </c>
      <c r="E156" s="75">
        <v>43922</v>
      </c>
      <c r="F156" s="75">
        <v>43952</v>
      </c>
      <c r="G156" s="75">
        <v>43983</v>
      </c>
      <c r="H156" s="75">
        <v>44013</v>
      </c>
      <c r="I156" s="75">
        <v>44044</v>
      </c>
      <c r="J156" s="75">
        <v>44075</v>
      </c>
      <c r="K156" s="75">
        <v>44105</v>
      </c>
      <c r="L156" s="75">
        <v>44136</v>
      </c>
      <c r="M156" s="75">
        <v>44166</v>
      </c>
      <c r="N156" s="72"/>
      <c r="P156" s="72"/>
      <c r="Q156" s="72"/>
    </row>
    <row r="157" spans="1:17" ht="15">
      <c r="A157" s="76" t="s">
        <v>35</v>
      </c>
      <c r="B157" s="95">
        <f aca="true" t="shared" si="47" ref="B157:L161">+ROUND($M157/12,4)*B$155</f>
        <v>10321.7642</v>
      </c>
      <c r="C157" s="95">
        <f t="shared" si="47"/>
        <v>20643.5284</v>
      </c>
      <c r="D157" s="95">
        <f t="shared" si="47"/>
        <v>30965.2926</v>
      </c>
      <c r="E157" s="95">
        <f t="shared" si="47"/>
        <v>41287.0568</v>
      </c>
      <c r="F157" s="95">
        <f t="shared" si="47"/>
        <v>51608.820999999996</v>
      </c>
      <c r="G157" s="95">
        <f t="shared" si="47"/>
        <v>61930.5852</v>
      </c>
      <c r="H157" s="95">
        <f t="shared" si="47"/>
        <v>72252.34939999999</v>
      </c>
      <c r="I157" s="95">
        <f t="shared" si="47"/>
        <v>82574.1136</v>
      </c>
      <c r="J157" s="95">
        <f t="shared" si="47"/>
        <v>92895.8778</v>
      </c>
      <c r="K157" s="95">
        <f t="shared" si="47"/>
        <v>103217.64199999999</v>
      </c>
      <c r="L157" s="95">
        <f t="shared" si="47"/>
        <v>113539.4062</v>
      </c>
      <c r="M157" s="100">
        <v>123861.17</v>
      </c>
      <c r="N157" s="72">
        <v>85848.99</v>
      </c>
      <c r="O157" s="2">
        <f>+ROUND(N157*B181/100+N157,2)</f>
        <v>123861.17</v>
      </c>
      <c r="P157" s="72"/>
      <c r="Q157" s="72"/>
    </row>
    <row r="158" spans="1:17" ht="15">
      <c r="A158" s="76" t="s">
        <v>36</v>
      </c>
      <c r="B158" s="95">
        <f t="shared" si="47"/>
        <v>9622.615</v>
      </c>
      <c r="C158" s="95">
        <f t="shared" si="47"/>
        <v>19245.23</v>
      </c>
      <c r="D158" s="95">
        <f t="shared" si="47"/>
        <v>28867.845</v>
      </c>
      <c r="E158" s="95">
        <f t="shared" si="47"/>
        <v>38490.46</v>
      </c>
      <c r="F158" s="95">
        <f t="shared" si="47"/>
        <v>48113.075</v>
      </c>
      <c r="G158" s="95">
        <f t="shared" si="47"/>
        <v>57735.69</v>
      </c>
      <c r="H158" s="95">
        <f t="shared" si="47"/>
        <v>67358.305</v>
      </c>
      <c r="I158" s="95">
        <f t="shared" si="47"/>
        <v>76980.92</v>
      </c>
      <c r="J158" s="95">
        <f t="shared" si="47"/>
        <v>86603.535</v>
      </c>
      <c r="K158" s="95">
        <f t="shared" si="47"/>
        <v>96226.15</v>
      </c>
      <c r="L158" s="95">
        <f t="shared" si="47"/>
        <v>105848.765</v>
      </c>
      <c r="M158" s="95">
        <v>115471.38</v>
      </c>
      <c r="N158" s="72"/>
      <c r="P158" s="72"/>
      <c r="Q158" s="72"/>
    </row>
    <row r="159" spans="1:17" ht="15">
      <c r="A159" s="76" t="s">
        <v>37</v>
      </c>
      <c r="B159" s="95">
        <f t="shared" si="47"/>
        <v>4852.7208</v>
      </c>
      <c r="C159" s="95">
        <f t="shared" si="47"/>
        <v>9705.4416</v>
      </c>
      <c r="D159" s="95">
        <f t="shared" si="47"/>
        <v>14558.162400000001</v>
      </c>
      <c r="E159" s="95">
        <f t="shared" si="47"/>
        <v>19410.8832</v>
      </c>
      <c r="F159" s="95">
        <f t="shared" si="47"/>
        <v>24263.604</v>
      </c>
      <c r="G159" s="95">
        <f t="shared" si="47"/>
        <v>29116.324800000002</v>
      </c>
      <c r="H159" s="95">
        <f t="shared" si="47"/>
        <v>33969.0456</v>
      </c>
      <c r="I159" s="95">
        <f t="shared" si="47"/>
        <v>38821.7664</v>
      </c>
      <c r="J159" s="95">
        <f t="shared" si="47"/>
        <v>43674.4872</v>
      </c>
      <c r="K159" s="95">
        <f t="shared" si="47"/>
        <v>48527.208</v>
      </c>
      <c r="L159" s="95">
        <f t="shared" si="47"/>
        <v>53379.9288</v>
      </c>
      <c r="M159" s="95">
        <v>58232.65</v>
      </c>
      <c r="N159" s="72"/>
      <c r="P159" s="72"/>
      <c r="Q159" s="72"/>
    </row>
    <row r="160" spans="1:17" ht="15">
      <c r="A160" s="76" t="s">
        <v>38</v>
      </c>
      <c r="B160" s="95">
        <f t="shared" si="47"/>
        <v>49544.468</v>
      </c>
      <c r="C160" s="95">
        <f t="shared" si="47"/>
        <v>99088.936</v>
      </c>
      <c r="D160" s="95">
        <f t="shared" si="47"/>
        <v>148633.404</v>
      </c>
      <c r="E160" s="95">
        <f t="shared" si="47"/>
        <v>198177.872</v>
      </c>
      <c r="F160" s="95">
        <f t="shared" si="47"/>
        <v>247722.34</v>
      </c>
      <c r="G160" s="95">
        <f t="shared" si="47"/>
        <v>297266.808</v>
      </c>
      <c r="H160" s="95">
        <f t="shared" si="47"/>
        <v>346811.276</v>
      </c>
      <c r="I160" s="95">
        <f t="shared" si="47"/>
        <v>396355.744</v>
      </c>
      <c r="J160" s="95">
        <f t="shared" si="47"/>
        <v>445900.212</v>
      </c>
      <c r="K160" s="95">
        <f t="shared" si="47"/>
        <v>495444.68</v>
      </c>
      <c r="L160" s="95">
        <f t="shared" si="47"/>
        <v>544989.148</v>
      </c>
      <c r="M160" s="95">
        <f>+M157*4.8</f>
        <v>594533.6159999999</v>
      </c>
      <c r="N160" s="72"/>
      <c r="P160" s="72"/>
      <c r="Q160" s="72"/>
    </row>
    <row r="161" spans="1:17" ht="15">
      <c r="A161" s="76" t="s">
        <v>39</v>
      </c>
      <c r="B161" s="95">
        <f t="shared" si="47"/>
        <v>10321.7642</v>
      </c>
      <c r="C161" s="95">
        <f t="shared" si="47"/>
        <v>20643.5284</v>
      </c>
      <c r="D161" s="95">
        <f t="shared" si="47"/>
        <v>30965.2926</v>
      </c>
      <c r="E161" s="95">
        <f t="shared" si="47"/>
        <v>41287.0568</v>
      </c>
      <c r="F161" s="95">
        <f t="shared" si="47"/>
        <v>51608.820999999996</v>
      </c>
      <c r="G161" s="95">
        <f t="shared" si="47"/>
        <v>61930.5852</v>
      </c>
      <c r="H161" s="95">
        <f t="shared" si="47"/>
        <v>72252.34939999999</v>
      </c>
      <c r="I161" s="95">
        <f t="shared" si="47"/>
        <v>82574.1136</v>
      </c>
      <c r="J161" s="95">
        <f t="shared" si="47"/>
        <v>92895.8778</v>
      </c>
      <c r="K161" s="95">
        <f t="shared" si="47"/>
        <v>103217.64199999999</v>
      </c>
      <c r="L161" s="95">
        <f t="shared" si="47"/>
        <v>113539.4062</v>
      </c>
      <c r="M161" s="95">
        <f>+M157</f>
        <v>123861.17</v>
      </c>
      <c r="N161" s="72"/>
      <c r="P161" s="72"/>
      <c r="Q161" s="72"/>
    </row>
    <row r="162" spans="1:17" ht="15">
      <c r="A162" s="76" t="s">
        <v>40</v>
      </c>
      <c r="B162" s="95">
        <v>0</v>
      </c>
      <c r="C162" s="95">
        <v>0</v>
      </c>
      <c r="D162" s="95">
        <v>0</v>
      </c>
      <c r="E162" s="95">
        <v>0</v>
      </c>
      <c r="F162" s="95">
        <v>0</v>
      </c>
      <c r="G162" s="95">
        <v>0</v>
      </c>
      <c r="H162" s="95">
        <v>0</v>
      </c>
      <c r="I162" s="95">
        <v>0</v>
      </c>
      <c r="J162" s="95">
        <v>0</v>
      </c>
      <c r="K162" s="95">
        <v>0</v>
      </c>
      <c r="L162" s="95">
        <v>0</v>
      </c>
      <c r="M162" s="95">
        <v>18000</v>
      </c>
      <c r="N162" s="72"/>
      <c r="P162" s="72"/>
      <c r="Q162" s="72"/>
    </row>
    <row r="163" spans="1:17" ht="15">
      <c r="A163" s="76" t="s">
        <v>41</v>
      </c>
      <c r="B163" s="95">
        <f aca="true" t="shared" si="48" ref="B163:L165">+ROUND($M163/12,4)*B$155</f>
        <v>83.0192</v>
      </c>
      <c r="C163" s="95">
        <f t="shared" si="48"/>
        <v>166.0384</v>
      </c>
      <c r="D163" s="95">
        <f t="shared" si="48"/>
        <v>249.05759999999998</v>
      </c>
      <c r="E163" s="95">
        <f t="shared" si="48"/>
        <v>332.0768</v>
      </c>
      <c r="F163" s="95">
        <f t="shared" si="48"/>
        <v>415.096</v>
      </c>
      <c r="G163" s="95">
        <f t="shared" si="48"/>
        <v>498.11519999999996</v>
      </c>
      <c r="H163" s="95">
        <f t="shared" si="48"/>
        <v>581.1344</v>
      </c>
      <c r="I163" s="95">
        <f t="shared" si="48"/>
        <v>664.1536</v>
      </c>
      <c r="J163" s="95">
        <f t="shared" si="48"/>
        <v>747.1727999999999</v>
      </c>
      <c r="K163" s="95">
        <f t="shared" si="48"/>
        <v>830.192</v>
      </c>
      <c r="L163" s="95">
        <f t="shared" si="48"/>
        <v>913.2112</v>
      </c>
      <c r="M163" s="95">
        <v>996.23</v>
      </c>
      <c r="N163" s="72"/>
      <c r="P163" s="72"/>
      <c r="Q163" s="72"/>
    </row>
    <row r="164" spans="1:17" ht="15">
      <c r="A164" s="76" t="s">
        <v>42</v>
      </c>
      <c r="B164" s="95">
        <f t="shared" si="48"/>
        <v>1666.6667</v>
      </c>
      <c r="C164" s="95">
        <f t="shared" si="48"/>
        <v>3333.3334</v>
      </c>
      <c r="D164" s="95">
        <f t="shared" si="48"/>
        <v>5000.0001</v>
      </c>
      <c r="E164" s="95">
        <f t="shared" si="48"/>
        <v>6666.6668</v>
      </c>
      <c r="F164" s="95">
        <f t="shared" si="48"/>
        <v>8333.3335</v>
      </c>
      <c r="G164" s="95">
        <f t="shared" si="48"/>
        <v>10000.0002</v>
      </c>
      <c r="H164" s="95">
        <f t="shared" si="48"/>
        <v>11666.6669</v>
      </c>
      <c r="I164" s="95">
        <f t="shared" si="48"/>
        <v>13333.3336</v>
      </c>
      <c r="J164" s="95">
        <f t="shared" si="48"/>
        <v>15000.0003</v>
      </c>
      <c r="K164" s="95">
        <f t="shared" si="48"/>
        <v>16666.667</v>
      </c>
      <c r="L164" s="95">
        <f t="shared" si="48"/>
        <v>18333.3337</v>
      </c>
      <c r="M164" s="95">
        <v>20000</v>
      </c>
      <c r="N164" s="72"/>
      <c r="P164" s="72"/>
      <c r="Q164" s="72"/>
    </row>
    <row r="165" spans="1:17" ht="15">
      <c r="A165" s="76" t="s">
        <v>43</v>
      </c>
      <c r="B165" s="95">
        <f t="shared" si="48"/>
        <v>10321.7642</v>
      </c>
      <c r="C165" s="95">
        <f t="shared" si="48"/>
        <v>20643.5284</v>
      </c>
      <c r="D165" s="95">
        <f t="shared" si="48"/>
        <v>30965.2926</v>
      </c>
      <c r="E165" s="95">
        <f t="shared" si="48"/>
        <v>41287.0568</v>
      </c>
      <c r="F165" s="95">
        <f t="shared" si="48"/>
        <v>51608.820999999996</v>
      </c>
      <c r="G165" s="95">
        <f t="shared" si="48"/>
        <v>61930.5852</v>
      </c>
      <c r="H165" s="95">
        <f t="shared" si="48"/>
        <v>72252.34939999999</v>
      </c>
      <c r="I165" s="95">
        <f t="shared" si="48"/>
        <v>82574.1136</v>
      </c>
      <c r="J165" s="95">
        <f t="shared" si="48"/>
        <v>92895.8778</v>
      </c>
      <c r="K165" s="95">
        <f t="shared" si="48"/>
        <v>103217.64199999999</v>
      </c>
      <c r="L165" s="95">
        <f t="shared" si="48"/>
        <v>113539.4062</v>
      </c>
      <c r="M165" s="95">
        <f>+M157</f>
        <v>123861.17</v>
      </c>
      <c r="N165" s="72"/>
      <c r="P165" s="72"/>
      <c r="Q165" s="72"/>
    </row>
    <row r="166" spans="1:17" ht="15">
      <c r="A166" s="76" t="s">
        <v>44</v>
      </c>
      <c r="B166" s="95" t="s">
        <v>45</v>
      </c>
      <c r="C166" s="95" t="s">
        <v>45</v>
      </c>
      <c r="D166" s="95" t="s">
        <v>45</v>
      </c>
      <c r="E166" s="95" t="s">
        <v>45</v>
      </c>
      <c r="F166" s="95" t="s">
        <v>45</v>
      </c>
      <c r="G166" s="95" t="s">
        <v>45</v>
      </c>
      <c r="H166" s="95" t="s">
        <v>45</v>
      </c>
      <c r="I166" s="95" t="s">
        <v>45</v>
      </c>
      <c r="J166" s="95" t="s">
        <v>45</v>
      </c>
      <c r="K166" s="95" t="s">
        <v>45</v>
      </c>
      <c r="L166" s="95" t="s">
        <v>45</v>
      </c>
      <c r="M166" s="95" t="s">
        <v>45</v>
      </c>
      <c r="N166" s="72"/>
      <c r="P166" s="72"/>
      <c r="Q166" s="72"/>
    </row>
    <row r="167" spans="1:17" ht="15">
      <c r="A167" s="76" t="s">
        <v>46</v>
      </c>
      <c r="B167" s="95">
        <f aca="true" t="shared" si="49" ref="B167:L167">+ROUND($M167/12,4)*B$155</f>
        <v>4128.7057</v>
      </c>
      <c r="C167" s="95">
        <f t="shared" si="49"/>
        <v>8257.4114</v>
      </c>
      <c r="D167" s="95">
        <f t="shared" si="49"/>
        <v>12386.117100000001</v>
      </c>
      <c r="E167" s="95">
        <f t="shared" si="49"/>
        <v>16514.8228</v>
      </c>
      <c r="F167" s="95">
        <f t="shared" si="49"/>
        <v>20643.5285</v>
      </c>
      <c r="G167" s="95">
        <f t="shared" si="49"/>
        <v>24772.234200000003</v>
      </c>
      <c r="H167" s="95">
        <f t="shared" si="49"/>
        <v>28900.939900000005</v>
      </c>
      <c r="I167" s="95">
        <f t="shared" si="49"/>
        <v>33029.6456</v>
      </c>
      <c r="J167" s="95">
        <f t="shared" si="49"/>
        <v>37158.3513</v>
      </c>
      <c r="K167" s="95">
        <f t="shared" si="49"/>
        <v>41287.057</v>
      </c>
      <c r="L167" s="95">
        <f t="shared" si="49"/>
        <v>45415.76270000001</v>
      </c>
      <c r="M167" s="95">
        <f>+M165*0.4</f>
        <v>49544.468</v>
      </c>
      <c r="N167" s="72"/>
      <c r="P167" s="72"/>
      <c r="Q167" s="72"/>
    </row>
    <row r="168" spans="1:17" ht="15">
      <c r="A168" s="76" t="s">
        <v>47</v>
      </c>
      <c r="B168" s="95" t="s">
        <v>45</v>
      </c>
      <c r="C168" s="95" t="s">
        <v>45</v>
      </c>
      <c r="D168" s="95" t="s">
        <v>45</v>
      </c>
      <c r="E168" s="95" t="s">
        <v>45</v>
      </c>
      <c r="F168" s="95" t="s">
        <v>45</v>
      </c>
      <c r="G168" s="95" t="s">
        <v>45</v>
      </c>
      <c r="H168" s="95" t="s">
        <v>45</v>
      </c>
      <c r="I168" s="95" t="s">
        <v>45</v>
      </c>
      <c r="J168" s="95" t="s">
        <v>45</v>
      </c>
      <c r="K168" s="95" t="s">
        <v>45</v>
      </c>
      <c r="L168" s="95" t="s">
        <v>45</v>
      </c>
      <c r="M168" s="95" t="s">
        <v>45</v>
      </c>
      <c r="N168" s="72"/>
      <c r="P168" s="72"/>
      <c r="Q168" s="72"/>
    </row>
    <row r="169" spans="1:17" ht="15">
      <c r="A169" s="76" t="s">
        <v>48</v>
      </c>
      <c r="B169" s="95" t="s">
        <v>49</v>
      </c>
      <c r="C169" s="95" t="s">
        <v>49</v>
      </c>
      <c r="D169" s="95" t="s">
        <v>49</v>
      </c>
      <c r="E169" s="95" t="s">
        <v>49</v>
      </c>
      <c r="F169" s="95" t="s">
        <v>49</v>
      </c>
      <c r="G169" s="95" t="s">
        <v>49</v>
      </c>
      <c r="H169" s="95" t="s">
        <v>49</v>
      </c>
      <c r="I169" s="95" t="s">
        <v>49</v>
      </c>
      <c r="J169" s="95" t="s">
        <v>49</v>
      </c>
      <c r="K169" s="95" t="s">
        <v>49</v>
      </c>
      <c r="L169" s="95" t="s">
        <v>49</v>
      </c>
      <c r="M169" s="95" t="s">
        <v>49</v>
      </c>
      <c r="N169" s="72"/>
      <c r="P169" s="72"/>
      <c r="Q169" s="72"/>
    </row>
    <row r="170" spans="1:17" ht="15">
      <c r="A170" s="76" t="s">
        <v>50</v>
      </c>
      <c r="B170" s="95" t="s">
        <v>49</v>
      </c>
      <c r="C170" s="95" t="s">
        <v>49</v>
      </c>
      <c r="D170" s="95" t="s">
        <v>49</v>
      </c>
      <c r="E170" s="95" t="s">
        <v>49</v>
      </c>
      <c r="F170" s="95" t="s">
        <v>49</v>
      </c>
      <c r="G170" s="95" t="s">
        <v>49</v>
      </c>
      <c r="H170" s="95" t="s">
        <v>49</v>
      </c>
      <c r="I170" s="95" t="s">
        <v>49</v>
      </c>
      <c r="J170" s="95" t="s">
        <v>49</v>
      </c>
      <c r="K170" s="95" t="s">
        <v>49</v>
      </c>
      <c r="L170" s="95" t="s">
        <v>49</v>
      </c>
      <c r="M170" s="95" t="s">
        <v>49</v>
      </c>
      <c r="N170" s="72"/>
      <c r="P170" s="72"/>
      <c r="Q170" s="72"/>
    </row>
    <row r="171" spans="1:17" ht="15.75" thickBot="1">
      <c r="A171" s="77" t="s">
        <v>51</v>
      </c>
      <c r="B171" s="95" t="s">
        <v>49</v>
      </c>
      <c r="C171" s="95" t="s">
        <v>49</v>
      </c>
      <c r="D171" s="95" t="s">
        <v>49</v>
      </c>
      <c r="E171" s="95" t="s">
        <v>49</v>
      </c>
      <c r="F171" s="95" t="s">
        <v>49</v>
      </c>
      <c r="G171" s="95" t="s">
        <v>49</v>
      </c>
      <c r="H171" s="95" t="s">
        <v>49</v>
      </c>
      <c r="I171" s="95" t="s">
        <v>49</v>
      </c>
      <c r="J171" s="95" t="s">
        <v>49</v>
      </c>
      <c r="K171" s="95" t="s">
        <v>49</v>
      </c>
      <c r="L171" s="95" t="s">
        <v>49</v>
      </c>
      <c r="M171" s="95" t="s">
        <v>49</v>
      </c>
      <c r="N171" s="72"/>
      <c r="P171" s="72"/>
      <c r="Q171" s="72"/>
    </row>
    <row r="172" spans="1:17" ht="12">
      <c r="A172" s="72"/>
      <c r="B172" s="72"/>
      <c r="C172" s="72"/>
      <c r="F172" s="72"/>
      <c r="G172" s="72"/>
      <c r="H172" s="72"/>
      <c r="I172" s="72"/>
      <c r="J172" s="72"/>
      <c r="K172" s="72"/>
      <c r="L172" s="72"/>
      <c r="M172" s="72"/>
      <c r="N172" s="72"/>
      <c r="P172" s="72"/>
      <c r="Q172" s="72"/>
    </row>
    <row r="173" spans="1:17" ht="12">
      <c r="A173" s="72"/>
      <c r="B173" s="72"/>
      <c r="C173" s="72"/>
      <c r="F173" s="72"/>
      <c r="G173" s="72"/>
      <c r="H173" s="72"/>
      <c r="I173" s="72"/>
      <c r="J173" s="72"/>
      <c r="K173" s="72"/>
      <c r="L173" s="72"/>
      <c r="M173" s="72"/>
      <c r="N173" s="72"/>
      <c r="P173" s="72"/>
      <c r="Q173" s="72"/>
    </row>
    <row r="174" spans="1:17" ht="12.75" thickBot="1">
      <c r="A174" s="72"/>
      <c r="B174" s="72"/>
      <c r="C174" s="72"/>
      <c r="G174" s="72"/>
      <c r="H174" s="72"/>
      <c r="I174" s="72"/>
      <c r="J174" s="72"/>
      <c r="K174" s="72"/>
      <c r="L174" s="72"/>
      <c r="M174" s="72"/>
      <c r="N174" s="72"/>
      <c r="P174" s="72"/>
      <c r="Q174" s="72"/>
    </row>
    <row r="175" spans="3:17" ht="12">
      <c r="C175" s="72"/>
      <c r="D175" s="262" t="s">
        <v>88</v>
      </c>
      <c r="E175" s="263"/>
      <c r="F175" s="263"/>
      <c r="G175" s="263"/>
      <c r="H175" s="264"/>
      <c r="I175" s="72"/>
      <c r="J175" s="72"/>
      <c r="K175" s="72"/>
      <c r="L175" s="72"/>
      <c r="M175" s="72"/>
      <c r="N175" s="72"/>
      <c r="P175" s="72"/>
      <c r="Q175" s="72"/>
    </row>
    <row r="176" spans="3:17" ht="12">
      <c r="C176" s="72"/>
      <c r="D176" s="78" t="s">
        <v>52</v>
      </c>
      <c r="E176" s="79" t="s">
        <v>53</v>
      </c>
      <c r="F176" s="79" t="s">
        <v>54</v>
      </c>
      <c r="G176" s="79" t="s">
        <v>55</v>
      </c>
      <c r="H176" s="80" t="s">
        <v>56</v>
      </c>
      <c r="I176" s="72"/>
      <c r="J176" s="72"/>
      <c r="K176" s="72"/>
      <c r="L176" s="72"/>
      <c r="M176" s="72"/>
      <c r="N176" s="72"/>
      <c r="P176" s="72"/>
      <c r="Q176" s="72"/>
    </row>
    <row r="177" spans="1:17" ht="15">
      <c r="A177" s="72" t="s">
        <v>146</v>
      </c>
      <c r="B177" s="72">
        <f>+'2019'!E174</f>
        <v>33039.81</v>
      </c>
      <c r="C177" s="72"/>
      <c r="D177" s="115">
        <v>0</v>
      </c>
      <c r="E177" s="101">
        <f>+ROUND(B177*B181/100+B177,2)</f>
        <v>47669.16</v>
      </c>
      <c r="F177" s="116">
        <v>0</v>
      </c>
      <c r="G177" s="115">
        <v>5</v>
      </c>
      <c r="H177" s="115">
        <v>0</v>
      </c>
      <c r="I177" s="72"/>
      <c r="J177" s="72"/>
      <c r="K177" s="72"/>
      <c r="L177" s="72"/>
      <c r="M177" s="72"/>
      <c r="N177" s="72"/>
      <c r="P177" s="72"/>
      <c r="Q177" s="72"/>
    </row>
    <row r="178" spans="1:17" ht="15">
      <c r="A178" s="72" t="s">
        <v>144</v>
      </c>
      <c r="B178" s="131">
        <v>33154.28</v>
      </c>
      <c r="C178" s="72"/>
      <c r="D178" s="115">
        <f>+E177</f>
        <v>47669.16</v>
      </c>
      <c r="E178" s="115">
        <f>+D178+E177</f>
        <v>95338.32</v>
      </c>
      <c r="F178" s="116">
        <f>+ROUND(E177*G177/100,3)</f>
        <v>2383.458</v>
      </c>
      <c r="G178" s="115">
        <v>9</v>
      </c>
      <c r="H178" s="115">
        <f>+E177</f>
        <v>47669.16</v>
      </c>
      <c r="I178" s="72"/>
      <c r="J178" s="72"/>
      <c r="K178" s="72"/>
      <c r="L178" s="72"/>
      <c r="M178" s="72"/>
      <c r="N178" s="72"/>
      <c r="P178" s="72"/>
      <c r="Q178" s="72"/>
    </row>
    <row r="179" spans="1:17" ht="15">
      <c r="A179" s="72" t="s">
        <v>145</v>
      </c>
      <c r="B179" s="131">
        <v>47834.32</v>
      </c>
      <c r="C179" s="72"/>
      <c r="D179" s="115">
        <f aca="true" t="shared" si="50" ref="D179:D185">+E178</f>
        <v>95338.32</v>
      </c>
      <c r="E179" s="115">
        <f>+D179+E177</f>
        <v>143007.48</v>
      </c>
      <c r="F179" s="116">
        <f>+ROUND(E177*G178/100,3)+F178</f>
        <v>6673.682000000001</v>
      </c>
      <c r="G179" s="115">
        <v>12</v>
      </c>
      <c r="H179" s="115">
        <f aca="true" t="shared" si="51" ref="H179:H185">+E178</f>
        <v>95338.32</v>
      </c>
      <c r="I179" s="72"/>
      <c r="J179" s="72"/>
      <c r="K179" s="72"/>
      <c r="L179" s="72"/>
      <c r="M179" s="72"/>
      <c r="N179" s="72"/>
      <c r="P179" s="72"/>
      <c r="Q179" s="72"/>
    </row>
    <row r="180" spans="1:17" ht="15">
      <c r="A180" s="72"/>
      <c r="B180" s="72"/>
      <c r="C180" s="72"/>
      <c r="D180" s="115">
        <f t="shared" si="50"/>
        <v>143007.48</v>
      </c>
      <c r="E180" s="115">
        <f>+D180+E177</f>
        <v>190676.64</v>
      </c>
      <c r="F180" s="116">
        <f>+ROUND(E177*G179/100,3)+F179</f>
        <v>12393.981</v>
      </c>
      <c r="G180" s="115">
        <v>15</v>
      </c>
      <c r="H180" s="115">
        <f t="shared" si="51"/>
        <v>143007.48</v>
      </c>
      <c r="I180" s="72"/>
      <c r="J180" s="72"/>
      <c r="K180" s="72"/>
      <c r="L180" s="72"/>
      <c r="M180" s="72"/>
      <c r="N180" s="72"/>
      <c r="P180" s="72"/>
      <c r="Q180" s="72"/>
    </row>
    <row r="181" spans="1:17" ht="15">
      <c r="A181" s="72" t="s">
        <v>147</v>
      </c>
      <c r="B181" s="72">
        <f>+ROUND(((B179-B178)/B178)*100,5)</f>
        <v>44.27796</v>
      </c>
      <c r="C181" s="72"/>
      <c r="D181" s="115">
        <f t="shared" si="50"/>
        <v>190676.64</v>
      </c>
      <c r="E181" s="115">
        <f>+D181+E178</f>
        <v>286014.96</v>
      </c>
      <c r="F181" s="116">
        <f>+ROUND(E177*G180/100,3)+F180</f>
        <v>19544.355</v>
      </c>
      <c r="G181" s="115">
        <v>19</v>
      </c>
      <c r="H181" s="115">
        <f t="shared" si="51"/>
        <v>190676.64</v>
      </c>
      <c r="I181" s="72"/>
      <c r="J181" s="72"/>
      <c r="K181" s="72"/>
      <c r="L181" s="72"/>
      <c r="M181" s="72"/>
      <c r="N181" s="72"/>
      <c r="P181" s="72"/>
      <c r="Q181" s="72"/>
    </row>
    <row r="182" spans="1:17" ht="15">
      <c r="A182" s="72"/>
      <c r="B182" s="72"/>
      <c r="C182" s="72"/>
      <c r="D182" s="115">
        <f t="shared" si="50"/>
        <v>286014.96</v>
      </c>
      <c r="E182" s="115">
        <f>+D182+E178</f>
        <v>381353.28</v>
      </c>
      <c r="F182" s="116">
        <f>+ROUND(E178*G181/100,3)+F181</f>
        <v>37658.636</v>
      </c>
      <c r="G182" s="115">
        <v>23</v>
      </c>
      <c r="H182" s="115">
        <f t="shared" si="51"/>
        <v>286014.96</v>
      </c>
      <c r="I182" s="72"/>
      <c r="J182" s="72"/>
      <c r="K182" s="72"/>
      <c r="L182" s="72"/>
      <c r="M182" s="72"/>
      <c r="N182" s="72"/>
      <c r="P182" s="72"/>
      <c r="Q182" s="72"/>
    </row>
    <row r="183" spans="1:17" ht="15">
      <c r="A183" s="72"/>
      <c r="B183" s="72"/>
      <c r="C183" s="72"/>
      <c r="D183" s="115">
        <f t="shared" si="50"/>
        <v>381353.28</v>
      </c>
      <c r="E183" s="115">
        <f>+D183+E180</f>
        <v>572029.92</v>
      </c>
      <c r="F183" s="116">
        <f>+ROUND(E178*G182/100,3)+F182</f>
        <v>59586.45</v>
      </c>
      <c r="G183" s="115">
        <v>27</v>
      </c>
      <c r="H183" s="115">
        <f t="shared" si="51"/>
        <v>381353.28</v>
      </c>
      <c r="I183" s="72"/>
      <c r="J183" s="72"/>
      <c r="K183" s="72"/>
      <c r="L183" s="72"/>
      <c r="M183" s="72"/>
      <c r="N183" s="72"/>
      <c r="P183" s="72"/>
      <c r="Q183" s="72"/>
    </row>
    <row r="184" spans="1:17" ht="15">
      <c r="A184" s="72"/>
      <c r="B184" s="72"/>
      <c r="C184" s="72"/>
      <c r="D184" s="115">
        <f t="shared" si="50"/>
        <v>572029.92</v>
      </c>
      <c r="E184" s="115">
        <f>+D184+E180</f>
        <v>762706.56</v>
      </c>
      <c r="F184" s="116">
        <f>+ROUND(E180*G183/100,3)+F183</f>
        <v>111069.143</v>
      </c>
      <c r="G184" s="115">
        <v>31</v>
      </c>
      <c r="H184" s="115">
        <f t="shared" si="51"/>
        <v>572029.92</v>
      </c>
      <c r="I184" s="72"/>
      <c r="J184" s="72"/>
      <c r="K184" s="72"/>
      <c r="L184" s="72"/>
      <c r="M184" s="72"/>
      <c r="N184" s="72"/>
      <c r="P184" s="72"/>
      <c r="Q184" s="72"/>
    </row>
    <row r="185" spans="1:17" ht="15">
      <c r="A185" s="72"/>
      <c r="B185" s="72"/>
      <c r="C185" s="72"/>
      <c r="D185" s="115">
        <f t="shared" si="50"/>
        <v>762706.56</v>
      </c>
      <c r="E185" s="115">
        <v>999999999</v>
      </c>
      <c r="F185" s="116">
        <f>+ROUND(E180*G184/100,2)+F184</f>
        <v>170178.903</v>
      </c>
      <c r="G185" s="115">
        <v>35</v>
      </c>
      <c r="H185" s="115">
        <f t="shared" si="51"/>
        <v>762706.56</v>
      </c>
      <c r="I185" s="72"/>
      <c r="J185" s="72"/>
      <c r="K185" s="72"/>
      <c r="L185" s="72"/>
      <c r="M185" s="72"/>
      <c r="N185" s="72"/>
      <c r="P185" s="72"/>
      <c r="Q185" s="72"/>
    </row>
    <row r="186" spans="1:17" ht="12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P186" s="72"/>
      <c r="Q186" s="72"/>
    </row>
    <row r="187" spans="1:17" ht="12.75" thickBot="1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P187" s="72"/>
      <c r="Q187" s="72"/>
    </row>
    <row r="188" spans="1:17" ht="12">
      <c r="A188" s="83" t="s">
        <v>87</v>
      </c>
      <c r="B188" s="84">
        <v>12</v>
      </c>
      <c r="C188" s="84">
        <v>11</v>
      </c>
      <c r="D188" s="84">
        <v>10</v>
      </c>
      <c r="E188" s="84">
        <v>9</v>
      </c>
      <c r="F188" s="84">
        <v>8</v>
      </c>
      <c r="G188" s="84">
        <v>7</v>
      </c>
      <c r="H188" s="84">
        <v>6</v>
      </c>
      <c r="I188" s="84">
        <v>5</v>
      </c>
      <c r="J188" s="84">
        <v>4</v>
      </c>
      <c r="K188" s="84">
        <v>3</v>
      </c>
      <c r="L188" s="84">
        <v>2</v>
      </c>
      <c r="M188" s="84">
        <v>1</v>
      </c>
      <c r="N188" s="85"/>
      <c r="P188" s="72"/>
      <c r="Q188" s="72"/>
    </row>
    <row r="189" spans="1:17" ht="12.75" thickBot="1">
      <c r="A189" s="86"/>
      <c r="B189" s="87">
        <f>12-B188</f>
        <v>0</v>
      </c>
      <c r="C189" s="87">
        <f aca="true" t="shared" si="52" ref="C189:M189">12-C188</f>
        <v>1</v>
      </c>
      <c r="D189" s="87">
        <f t="shared" si="52"/>
        <v>2</v>
      </c>
      <c r="E189" s="87">
        <f t="shared" si="52"/>
        <v>3</v>
      </c>
      <c r="F189" s="87">
        <f t="shared" si="52"/>
        <v>4</v>
      </c>
      <c r="G189" s="87">
        <f t="shared" si="52"/>
        <v>5</v>
      </c>
      <c r="H189" s="87">
        <f t="shared" si="52"/>
        <v>6</v>
      </c>
      <c r="I189" s="87">
        <f t="shared" si="52"/>
        <v>7</v>
      </c>
      <c r="J189" s="87">
        <f t="shared" si="52"/>
        <v>8</v>
      </c>
      <c r="K189" s="87">
        <f t="shared" si="52"/>
        <v>9</v>
      </c>
      <c r="L189" s="87">
        <f t="shared" si="52"/>
        <v>10</v>
      </c>
      <c r="M189" s="87">
        <f t="shared" si="52"/>
        <v>11</v>
      </c>
      <c r="N189" s="88"/>
      <c r="P189" s="72"/>
      <c r="Q189" s="72"/>
    </row>
    <row r="190" spans="1:17" ht="12">
      <c r="A190" s="74" t="s">
        <v>95</v>
      </c>
      <c r="B190" s="74" t="str">
        <f aca="true" t="shared" si="53" ref="B190:M190">+B5</f>
        <v>Enero</v>
      </c>
      <c r="C190" s="74" t="str">
        <f t="shared" si="53"/>
        <v>Febrero</v>
      </c>
      <c r="D190" s="74" t="str">
        <f t="shared" si="53"/>
        <v>Marzo</v>
      </c>
      <c r="E190" s="74" t="str">
        <f t="shared" si="53"/>
        <v>Abril</v>
      </c>
      <c r="F190" s="74" t="str">
        <f t="shared" si="53"/>
        <v>Mayo</v>
      </c>
      <c r="G190" s="74" t="str">
        <f t="shared" si="53"/>
        <v>Junio</v>
      </c>
      <c r="H190" s="74" t="str">
        <f t="shared" si="53"/>
        <v>Julio</v>
      </c>
      <c r="I190" s="74" t="str">
        <f t="shared" si="53"/>
        <v>Agosto</v>
      </c>
      <c r="J190" s="74" t="str">
        <f t="shared" si="53"/>
        <v>Septiembre</v>
      </c>
      <c r="K190" s="74" t="str">
        <f t="shared" si="53"/>
        <v>Octubre</v>
      </c>
      <c r="L190" s="74" t="str">
        <f t="shared" si="53"/>
        <v>Noviembre</v>
      </c>
      <c r="M190" s="74" t="str">
        <f t="shared" si="53"/>
        <v>Diciembre</v>
      </c>
      <c r="N190" s="74" t="s">
        <v>61</v>
      </c>
      <c r="P190" s="72"/>
      <c r="Q190" s="72"/>
    </row>
    <row r="191" spans="1:17" ht="12">
      <c r="A191" s="81" t="s">
        <v>23</v>
      </c>
      <c r="B191" s="81">
        <f aca="true" t="shared" si="54" ref="B191:M191">+ROUND(IF($E$1&gt;B$189,(B15)/B$188*($E$1-B$189),0),2)</f>
        <v>0</v>
      </c>
      <c r="C191" s="81">
        <f t="shared" si="54"/>
        <v>0</v>
      </c>
      <c r="D191" s="81">
        <f t="shared" si="54"/>
        <v>0</v>
      </c>
      <c r="E191" s="81">
        <f t="shared" si="54"/>
        <v>0</v>
      </c>
      <c r="F191" s="81">
        <f t="shared" si="54"/>
        <v>0</v>
      </c>
      <c r="G191" s="81">
        <f t="shared" si="54"/>
        <v>0</v>
      </c>
      <c r="H191" s="81">
        <f t="shared" si="54"/>
        <v>0</v>
      </c>
      <c r="I191" s="81">
        <f t="shared" si="54"/>
        <v>0</v>
      </c>
      <c r="J191" s="81">
        <f t="shared" si="54"/>
        <v>0</v>
      </c>
      <c r="K191" s="81">
        <f t="shared" si="54"/>
        <v>0</v>
      </c>
      <c r="L191" s="81">
        <f t="shared" si="54"/>
        <v>0</v>
      </c>
      <c r="M191" s="81">
        <f t="shared" si="54"/>
        <v>0</v>
      </c>
      <c r="N191" s="81">
        <f>+SUM(B191:M191)</f>
        <v>0</v>
      </c>
      <c r="P191" s="72"/>
      <c r="Q191" s="72"/>
    </row>
    <row r="192" spans="1:17" ht="12.75" thickBot="1">
      <c r="A192" s="82" t="s">
        <v>24</v>
      </c>
      <c r="B192" s="82">
        <f aca="true" t="shared" si="55" ref="B192:M192">+ROUND(IF($E$1&gt;B$189,B16/B$188*($E$1-B$189),0),2)</f>
        <v>0</v>
      </c>
      <c r="C192" s="82">
        <f t="shared" si="55"/>
        <v>0</v>
      </c>
      <c r="D192" s="82">
        <f t="shared" si="55"/>
        <v>0</v>
      </c>
      <c r="E192" s="82">
        <f t="shared" si="55"/>
        <v>0</v>
      </c>
      <c r="F192" s="82">
        <f t="shared" si="55"/>
        <v>0</v>
      </c>
      <c r="G192" s="82">
        <f t="shared" si="55"/>
        <v>0</v>
      </c>
      <c r="H192" s="82">
        <f t="shared" si="55"/>
        <v>0</v>
      </c>
      <c r="I192" s="82">
        <f t="shared" si="55"/>
        <v>0</v>
      </c>
      <c r="J192" s="82">
        <f t="shared" si="55"/>
        <v>0</v>
      </c>
      <c r="K192" s="82">
        <f t="shared" si="55"/>
        <v>0</v>
      </c>
      <c r="L192" s="82">
        <f t="shared" si="55"/>
        <v>0</v>
      </c>
      <c r="M192" s="82">
        <f t="shared" si="55"/>
        <v>0</v>
      </c>
      <c r="N192" s="82">
        <f>+SUM(B192:M192)</f>
        <v>0</v>
      </c>
      <c r="P192" s="72"/>
      <c r="Q192" s="72"/>
    </row>
    <row r="193" spans="1:17" ht="12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</row>
    <row r="194" spans="1:17" ht="12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</row>
  </sheetData>
  <sheetProtection/>
  <mergeCells count="59">
    <mergeCell ref="I119:K119"/>
    <mergeCell ref="I120:K120"/>
    <mergeCell ref="I121:K121"/>
    <mergeCell ref="A154:M154"/>
    <mergeCell ref="D175:H175"/>
    <mergeCell ref="I111:M111"/>
    <mergeCell ref="A113:B113"/>
    <mergeCell ref="I113:M113"/>
    <mergeCell ref="I114:M114"/>
    <mergeCell ref="I115:M115"/>
    <mergeCell ref="I117:M117"/>
    <mergeCell ref="I102:M102"/>
    <mergeCell ref="I103:M103"/>
    <mergeCell ref="I105:M105"/>
    <mergeCell ref="I107:M107"/>
    <mergeCell ref="I108:M108"/>
    <mergeCell ref="I109:M109"/>
    <mergeCell ref="I92:M92"/>
    <mergeCell ref="I95:M95"/>
    <mergeCell ref="I97:M97"/>
    <mergeCell ref="I99:K99"/>
    <mergeCell ref="I100:M100"/>
    <mergeCell ref="I101:M101"/>
    <mergeCell ref="I85:M85"/>
    <mergeCell ref="I86:M86"/>
    <mergeCell ref="I88:M88"/>
    <mergeCell ref="I89:M89"/>
    <mergeCell ref="I90:M90"/>
    <mergeCell ref="I91:M91"/>
    <mergeCell ref="I77:K77"/>
    <mergeCell ref="I78:K78"/>
    <mergeCell ref="I79:K79"/>
    <mergeCell ref="I80:K80"/>
    <mergeCell ref="I82:K82"/>
    <mergeCell ref="I84:M84"/>
    <mergeCell ref="I70:K70"/>
    <mergeCell ref="I71:K71"/>
    <mergeCell ref="I72:K72"/>
    <mergeCell ref="I73:K73"/>
    <mergeCell ref="I75:K75"/>
    <mergeCell ref="I76:K76"/>
    <mergeCell ref="I64:K64"/>
    <mergeCell ref="I65:K65"/>
    <mergeCell ref="I66:K66"/>
    <mergeCell ref="I67:K67"/>
    <mergeCell ref="I68:K68"/>
    <mergeCell ref="I69:K69"/>
    <mergeCell ref="I58:K58"/>
    <mergeCell ref="I59:K59"/>
    <mergeCell ref="I60:K60"/>
    <mergeCell ref="I61:K61"/>
    <mergeCell ref="I62:K62"/>
    <mergeCell ref="I63:K63"/>
    <mergeCell ref="B53:F53"/>
    <mergeCell ref="I53:K53"/>
    <mergeCell ref="I54:K54"/>
    <mergeCell ref="I55:K55"/>
    <mergeCell ref="I56:K56"/>
    <mergeCell ref="I57:K57"/>
  </mergeCells>
  <dataValidations count="1">
    <dataValidation type="list" allowBlank="1" showInputMessage="1" showErrorMessage="1" sqref="E1">
      <formula1>tabla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4"/>
  <sheetViews>
    <sheetView zoomScale="90" zoomScaleNormal="90" zoomScalePageLayoutView="0" workbookViewId="0" topLeftCell="A1">
      <selection activeCell="C18" sqref="C18"/>
    </sheetView>
  </sheetViews>
  <sheetFormatPr defaultColWidth="0" defaultRowHeight="15"/>
  <cols>
    <col min="1" max="1" width="28.7109375" style="2" customWidth="1"/>
    <col min="2" max="2" width="13.421875" style="2" bestFit="1" customWidth="1"/>
    <col min="3" max="3" width="10.7109375" style="2" bestFit="1" customWidth="1"/>
    <col min="4" max="4" width="13.28125" style="2" bestFit="1" customWidth="1"/>
    <col min="5" max="5" width="15.57421875" style="2" bestFit="1" customWidth="1"/>
    <col min="6" max="6" width="11.8515625" style="2" bestFit="1" customWidth="1"/>
    <col min="7" max="7" width="11.7109375" style="2" bestFit="1" customWidth="1"/>
    <col min="8" max="8" width="13.28125" style="2" bestFit="1" customWidth="1"/>
    <col min="9" max="9" width="13.57421875" style="2" bestFit="1" customWidth="1"/>
    <col min="10" max="13" width="11.7109375" style="2" bestFit="1" customWidth="1"/>
    <col min="14" max="14" width="15.421875" style="2" bestFit="1" customWidth="1"/>
    <col min="15" max="15" width="14.7109375" style="2" bestFit="1" customWidth="1"/>
    <col min="16" max="16" width="8.7109375" style="2" customWidth="1"/>
    <col min="17" max="17" width="7.7109375" style="2" customWidth="1"/>
    <col min="18" max="16384" width="11.421875" style="5" hidden="1" customWidth="1"/>
  </cols>
  <sheetData>
    <row r="1" spans="1:5" ht="12.75" thickBot="1">
      <c r="A1" s="1" t="s">
        <v>91</v>
      </c>
      <c r="B1" s="134" t="s">
        <v>92</v>
      </c>
      <c r="D1" s="3" t="s">
        <v>33</v>
      </c>
      <c r="E1" s="4">
        <v>1</v>
      </c>
    </row>
    <row r="2" spans="1:2" ht="13.5" thickBot="1">
      <c r="A2" s="98"/>
      <c r="B2" s="99"/>
    </row>
    <row r="3" spans="1:14" ht="12.75" thickBot="1">
      <c r="A3" s="7" t="s">
        <v>141</v>
      </c>
      <c r="B3" s="12">
        <v>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</row>
    <row r="4" spans="1:14" ht="12.75" thickBot="1">
      <c r="A4" s="7" t="s">
        <v>89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12</v>
      </c>
    </row>
    <row r="5" spans="1:15" ht="12.75" thickBot="1">
      <c r="A5" s="7" t="s">
        <v>90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120</v>
      </c>
      <c r="O5" s="7" t="s">
        <v>14</v>
      </c>
    </row>
    <row r="6" spans="1:15" ht="12">
      <c r="A6" s="8" t="s">
        <v>0</v>
      </c>
      <c r="B6" s="139">
        <v>100000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>
        <f aca="true" t="shared" si="0" ref="O6:O16">+SUM(B6:M6)</f>
        <v>100000</v>
      </c>
    </row>
    <row r="7" spans="1:15" ht="12">
      <c r="A7" s="11" t="s">
        <v>98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>
        <f>+SUM(B7:N7)</f>
        <v>0</v>
      </c>
    </row>
    <row r="8" spans="1:15" ht="12">
      <c r="A8" s="11" t="s">
        <v>112</v>
      </c>
      <c r="B8" s="12">
        <f>+B6/200*2*4</f>
        <v>4000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>
        <f t="shared" si="0"/>
        <v>4000</v>
      </c>
    </row>
    <row r="9" spans="1:15" ht="12">
      <c r="A9" s="11" t="s">
        <v>119</v>
      </c>
      <c r="B9" s="12">
        <f>+B6/200*1.5*4</f>
        <v>3000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>
        <f t="shared" si="0"/>
        <v>3000</v>
      </c>
    </row>
    <row r="10" spans="1:15" s="2" customFormat="1" ht="12">
      <c r="A10" s="11" t="s">
        <v>113</v>
      </c>
      <c r="B10" s="12">
        <v>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>
        <f t="shared" si="0"/>
        <v>0</v>
      </c>
    </row>
    <row r="11" spans="1:17" s="2" customFormat="1" ht="12">
      <c r="A11" s="11" t="s">
        <v>138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>
        <f t="shared" si="0"/>
        <v>0</v>
      </c>
      <c r="P11" s="6"/>
      <c r="Q11" s="6"/>
    </row>
    <row r="12" spans="1:17" s="2" customFormat="1" ht="12">
      <c r="A12" s="11" t="s">
        <v>25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>
        <f t="shared" si="0"/>
        <v>0</v>
      </c>
      <c r="Q12" s="6"/>
    </row>
    <row r="13" spans="1:17" s="2" customFormat="1" ht="12">
      <c r="A13" s="11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>
        <f t="shared" si="0"/>
        <v>0</v>
      </c>
      <c r="Q13" s="6"/>
    </row>
    <row r="14" spans="1:15" s="2" customFormat="1" ht="12">
      <c r="A14" s="11" t="s">
        <v>117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>
        <f t="shared" si="0"/>
        <v>0</v>
      </c>
    </row>
    <row r="15" spans="1:17" s="2" customFormat="1" ht="12">
      <c r="A15" s="11" t="s">
        <v>23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>
        <f t="shared" si="0"/>
        <v>0</v>
      </c>
      <c r="Q15" s="6"/>
    </row>
    <row r="16" spans="1:15" s="2" customFormat="1" ht="12">
      <c r="A16" s="11" t="s">
        <v>24</v>
      </c>
      <c r="B16" s="12">
        <f aca="true" t="shared" si="1" ref="B16:M16">+ROUND(B15/12,2)</f>
        <v>0</v>
      </c>
      <c r="C16" s="12">
        <f t="shared" si="1"/>
        <v>0</v>
      </c>
      <c r="D16" s="12">
        <f t="shared" si="1"/>
        <v>0</v>
      </c>
      <c r="E16" s="12">
        <f t="shared" si="1"/>
        <v>0</v>
      </c>
      <c r="F16" s="12">
        <f t="shared" si="1"/>
        <v>0</v>
      </c>
      <c r="G16" s="12">
        <f t="shared" si="1"/>
        <v>0</v>
      </c>
      <c r="H16" s="12">
        <f t="shared" si="1"/>
        <v>0</v>
      </c>
      <c r="I16" s="12">
        <f t="shared" si="1"/>
        <v>0</v>
      </c>
      <c r="J16" s="12">
        <f t="shared" si="1"/>
        <v>0</v>
      </c>
      <c r="K16" s="12">
        <f t="shared" si="1"/>
        <v>0</v>
      </c>
      <c r="L16" s="12">
        <f t="shared" si="1"/>
        <v>0</v>
      </c>
      <c r="M16" s="12">
        <f t="shared" si="1"/>
        <v>0</v>
      </c>
      <c r="N16" s="12"/>
      <c r="O16" s="13">
        <f t="shared" si="0"/>
        <v>0</v>
      </c>
    </row>
    <row r="17" spans="1:15" s="2" customFormat="1" ht="12">
      <c r="A17" s="11" t="s">
        <v>123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3">
        <f>+IF(E1&gt;5,SUM(B17:N17),0)</f>
        <v>0</v>
      </c>
    </row>
    <row r="18" spans="1:15" s="2" customFormat="1" ht="12">
      <c r="A18" s="11" t="s">
        <v>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>
        <f aca="true" t="shared" si="2" ref="O18:O23">+SUM(B18:M18)</f>
        <v>0</v>
      </c>
    </row>
    <row r="19" spans="1:15" s="2" customFormat="1" ht="12">
      <c r="A19" s="11">
        <f>+""</f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>
        <f t="shared" si="2"/>
        <v>0</v>
      </c>
    </row>
    <row r="20" spans="1:15" s="2" customFormat="1" ht="12">
      <c r="A20" s="11" t="s">
        <v>31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>
        <f t="shared" si="2"/>
        <v>0</v>
      </c>
    </row>
    <row r="21" spans="1:15" s="2" customFormat="1" ht="12">
      <c r="A21" s="11" t="s">
        <v>28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>
        <f t="shared" si="2"/>
        <v>0</v>
      </c>
    </row>
    <row r="22" spans="1:15" s="2" customFormat="1" ht="12">
      <c r="A22" s="11" t="s">
        <v>140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/>
      <c r="M22" s="12"/>
      <c r="N22" s="12"/>
      <c r="O22" s="13">
        <f t="shared" si="2"/>
        <v>0</v>
      </c>
    </row>
    <row r="23" spans="1:15" s="2" customFormat="1" ht="1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>
        <f t="shared" si="2"/>
        <v>0</v>
      </c>
    </row>
    <row r="24" spans="1:15" s="2" customFormat="1" ht="12.75" thickBot="1">
      <c r="A24" s="15" t="s">
        <v>108</v>
      </c>
      <c r="B24" s="16">
        <f>+ROUND((SUM(B6:B13))/12,2)</f>
        <v>8916.67</v>
      </c>
      <c r="C24" s="16">
        <f aca="true" t="shared" si="3" ref="C24:L24">+ROUND((SUM(C6:C13)-C11)/12,2)</f>
        <v>0</v>
      </c>
      <c r="D24" s="16">
        <f t="shared" si="3"/>
        <v>0</v>
      </c>
      <c r="E24" s="16">
        <f t="shared" si="3"/>
        <v>0</v>
      </c>
      <c r="F24" s="16">
        <f t="shared" si="3"/>
        <v>0</v>
      </c>
      <c r="G24" s="16">
        <f>+IF($E$1&gt;5,-SUM(B24:F24),0)</f>
        <v>0</v>
      </c>
      <c r="H24" s="16">
        <f>+ROUND((SUM(H6:H13)-H11)/12,2)</f>
        <v>0</v>
      </c>
      <c r="I24" s="16">
        <f>+ROUND((SUM(I6:I13)-I11)/12,2)</f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>+IF($E$1=12,-SUM(B24:L24),0)</f>
        <v>0</v>
      </c>
      <c r="N24" s="16">
        <v>0</v>
      </c>
      <c r="O24" s="17">
        <f>+SUM(B24:N24)</f>
        <v>8916.67</v>
      </c>
    </row>
    <row r="25" spans="1:15" s="2" customFormat="1" ht="12.75" thickBot="1">
      <c r="A25" s="18" t="s">
        <v>116</v>
      </c>
      <c r="B25" s="19">
        <f>-(SUM(B28:B30)+B32)/12</f>
        <v>-1694.1666666666667</v>
      </c>
      <c r="C25" s="19">
        <f>-(SUM(C28:C30)+C32)/12</f>
        <v>0</v>
      </c>
      <c r="D25" s="19">
        <f>-(SUM(D28:D30)+D32)/12</f>
        <v>0</v>
      </c>
      <c r="E25" s="19">
        <f>-(SUM(E28:E30)+E32)/12</f>
        <v>0</v>
      </c>
      <c r="F25" s="19">
        <f aca="true" t="shared" si="4" ref="F25:L25">-(SUM(F28:F30)+F32)/12</f>
        <v>0</v>
      </c>
      <c r="G25" s="16">
        <f>+IF($E$1&gt;5,-SUM(B25:F25),0)</f>
        <v>0</v>
      </c>
      <c r="H25" s="19">
        <f>-(SUM(H28:H30)+H32)/12</f>
        <v>0</v>
      </c>
      <c r="I25" s="19">
        <f t="shared" si="4"/>
        <v>0</v>
      </c>
      <c r="J25" s="19">
        <f t="shared" si="4"/>
        <v>0</v>
      </c>
      <c r="K25" s="19">
        <f t="shared" si="4"/>
        <v>0</v>
      </c>
      <c r="L25" s="19">
        <f t="shared" si="4"/>
        <v>0</v>
      </c>
      <c r="M25" s="16">
        <f>+IF($E$1=12,-SUM(B25:L25),0)</f>
        <v>0</v>
      </c>
      <c r="N25" s="16">
        <v>0</v>
      </c>
      <c r="O25" s="17">
        <f>+SUM(B25:N25)</f>
        <v>-1694.1666666666667</v>
      </c>
    </row>
    <row r="26" spans="1:15" s="2" customFormat="1" ht="12.75" thickBot="1">
      <c r="A26" s="20" t="s">
        <v>93</v>
      </c>
      <c r="B26" s="21">
        <f>+ROUND(SUM(B6:B21),2)</f>
        <v>107000</v>
      </c>
      <c r="C26" s="21">
        <f aca="true" t="shared" si="5" ref="C26:M26">+SUM(C6:C20)</f>
        <v>0</v>
      </c>
      <c r="D26" s="21">
        <f t="shared" si="5"/>
        <v>0</v>
      </c>
      <c r="E26" s="21">
        <f t="shared" si="5"/>
        <v>0</v>
      </c>
      <c r="F26" s="21">
        <f t="shared" si="5"/>
        <v>0</v>
      </c>
      <c r="G26" s="21">
        <f t="shared" si="5"/>
        <v>0</v>
      </c>
      <c r="H26" s="21">
        <f t="shared" si="5"/>
        <v>0</v>
      </c>
      <c r="I26" s="21">
        <f>+SUM(I6:I20)</f>
        <v>0</v>
      </c>
      <c r="J26" s="21">
        <f t="shared" si="5"/>
        <v>0</v>
      </c>
      <c r="K26" s="21">
        <f>+SUM(K6:K22)</f>
        <v>0</v>
      </c>
      <c r="L26" s="21">
        <f t="shared" si="5"/>
        <v>0</v>
      </c>
      <c r="M26" s="21">
        <f t="shared" si="5"/>
        <v>0</v>
      </c>
      <c r="N26" s="21">
        <f>+SUM(N6:N20)</f>
        <v>0</v>
      </c>
      <c r="O26" s="21">
        <f>+SUM(O6:O20)</f>
        <v>107000</v>
      </c>
    </row>
    <row r="27" s="2" customFormat="1" ht="12.75" thickBot="1"/>
    <row r="28" spans="1:15" s="2" customFormat="1" ht="12.75" thickBot="1">
      <c r="A28" s="8" t="s">
        <v>15</v>
      </c>
      <c r="B28" s="9">
        <f>+B49*11%</f>
        <v>11770</v>
      </c>
      <c r="C28" s="9">
        <f aca="true" t="shared" si="6" ref="C28:N28">+C49*11%</f>
        <v>0</v>
      </c>
      <c r="D28" s="9">
        <f t="shared" si="6"/>
        <v>0</v>
      </c>
      <c r="E28" s="9">
        <f t="shared" si="6"/>
        <v>0</v>
      </c>
      <c r="F28" s="9">
        <f t="shared" si="6"/>
        <v>0</v>
      </c>
      <c r="G28" s="9">
        <f t="shared" si="6"/>
        <v>0</v>
      </c>
      <c r="H28" s="9">
        <f t="shared" si="6"/>
        <v>0</v>
      </c>
      <c r="I28" s="9">
        <f t="shared" si="6"/>
        <v>0</v>
      </c>
      <c r="J28" s="9">
        <f t="shared" si="6"/>
        <v>0</v>
      </c>
      <c r="K28" s="9">
        <f t="shared" si="6"/>
        <v>0</v>
      </c>
      <c r="L28" s="9">
        <f t="shared" si="6"/>
        <v>0</v>
      </c>
      <c r="M28" s="9">
        <f t="shared" si="6"/>
        <v>0</v>
      </c>
      <c r="N28" s="9">
        <f t="shared" si="6"/>
        <v>0</v>
      </c>
      <c r="O28" s="10">
        <f>+SUM(B28:N28)</f>
        <v>11770</v>
      </c>
    </row>
    <row r="29" spans="1:15" s="2" customFormat="1" ht="12.75" thickBot="1">
      <c r="A29" s="11" t="s">
        <v>19</v>
      </c>
      <c r="B29" s="12">
        <f>+B28/11*3</f>
        <v>3210</v>
      </c>
      <c r="C29" s="12">
        <f aca="true" t="shared" si="7" ref="C29:N29">+C28/11*3</f>
        <v>0</v>
      </c>
      <c r="D29" s="12">
        <f t="shared" si="7"/>
        <v>0</v>
      </c>
      <c r="E29" s="12">
        <f t="shared" si="7"/>
        <v>0</v>
      </c>
      <c r="F29" s="12">
        <f t="shared" si="7"/>
        <v>0</v>
      </c>
      <c r="G29" s="12">
        <f t="shared" si="7"/>
        <v>0</v>
      </c>
      <c r="H29" s="12">
        <f t="shared" si="7"/>
        <v>0</v>
      </c>
      <c r="I29" s="12">
        <f t="shared" si="7"/>
        <v>0</v>
      </c>
      <c r="J29" s="12">
        <f t="shared" si="7"/>
        <v>0</v>
      </c>
      <c r="K29" s="12">
        <f t="shared" si="7"/>
        <v>0</v>
      </c>
      <c r="L29" s="12">
        <f t="shared" si="7"/>
        <v>0</v>
      </c>
      <c r="M29" s="12">
        <f t="shared" si="7"/>
        <v>0</v>
      </c>
      <c r="N29" s="12">
        <f t="shared" si="7"/>
        <v>0</v>
      </c>
      <c r="O29" s="10">
        <f aca="true" t="shared" si="8" ref="O29:O35">+SUM(B29:N29)</f>
        <v>3210</v>
      </c>
    </row>
    <row r="30" spans="1:15" s="2" customFormat="1" ht="12.75" thickBot="1">
      <c r="A30" s="11" t="s">
        <v>20</v>
      </c>
      <c r="B30" s="12">
        <f>+B29</f>
        <v>3210</v>
      </c>
      <c r="C30" s="12">
        <f aca="true" t="shared" si="9" ref="C30:N30">+C29</f>
        <v>0</v>
      </c>
      <c r="D30" s="12">
        <f t="shared" si="9"/>
        <v>0</v>
      </c>
      <c r="E30" s="12">
        <f t="shared" si="9"/>
        <v>0</v>
      </c>
      <c r="F30" s="12">
        <f t="shared" si="9"/>
        <v>0</v>
      </c>
      <c r="G30" s="12">
        <f t="shared" si="9"/>
        <v>0</v>
      </c>
      <c r="H30" s="12">
        <f t="shared" si="9"/>
        <v>0</v>
      </c>
      <c r="I30" s="12">
        <f t="shared" si="9"/>
        <v>0</v>
      </c>
      <c r="J30" s="12">
        <f t="shared" si="9"/>
        <v>0</v>
      </c>
      <c r="K30" s="12">
        <f t="shared" si="9"/>
        <v>0</v>
      </c>
      <c r="L30" s="12">
        <f t="shared" si="9"/>
        <v>0</v>
      </c>
      <c r="M30" s="12">
        <f t="shared" si="9"/>
        <v>0</v>
      </c>
      <c r="N30" s="12">
        <f t="shared" si="9"/>
        <v>0</v>
      </c>
      <c r="O30" s="10">
        <f t="shared" si="8"/>
        <v>3210</v>
      </c>
    </row>
    <row r="31" spans="1:15" s="2" customFormat="1" ht="12.75" thickBot="1">
      <c r="A31" s="11" t="s">
        <v>22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 t="shared" si="8"/>
        <v>0</v>
      </c>
    </row>
    <row r="32" spans="1:15" s="2" customFormat="1" ht="12.75" thickBot="1">
      <c r="A32" s="11" t="s">
        <v>21</v>
      </c>
      <c r="B32" s="12">
        <f>+B30/3*2</f>
        <v>2140</v>
      </c>
      <c r="C32" s="12">
        <f aca="true" t="shared" si="10" ref="C32:K32">+C30/3*2</f>
        <v>0</v>
      </c>
      <c r="D32" s="12">
        <f t="shared" si="10"/>
        <v>0</v>
      </c>
      <c r="E32" s="12">
        <f t="shared" si="10"/>
        <v>0</v>
      </c>
      <c r="F32" s="12">
        <f t="shared" si="10"/>
        <v>0</v>
      </c>
      <c r="G32" s="12">
        <f t="shared" si="10"/>
        <v>0</v>
      </c>
      <c r="H32" s="12">
        <f t="shared" si="10"/>
        <v>0</v>
      </c>
      <c r="I32" s="12">
        <f t="shared" si="10"/>
        <v>0</v>
      </c>
      <c r="J32" s="12">
        <f t="shared" si="10"/>
        <v>0</v>
      </c>
      <c r="K32" s="12">
        <f t="shared" si="10"/>
        <v>0</v>
      </c>
      <c r="L32" s="12">
        <f>+L30/3*1</f>
        <v>0</v>
      </c>
      <c r="M32" s="12">
        <f>+M30/3*1</f>
        <v>0</v>
      </c>
      <c r="N32" s="12">
        <f>+N30/3*1</f>
        <v>0</v>
      </c>
      <c r="O32" s="10">
        <f t="shared" si="8"/>
        <v>2140</v>
      </c>
    </row>
    <row r="33" spans="1:15" s="2" customFormat="1" ht="12.75" thickBot="1">
      <c r="A33" s="11" t="s">
        <v>133</v>
      </c>
      <c r="B33" s="12">
        <f aca="true" t="shared" si="11" ref="B33:J33">+B22</f>
        <v>0</v>
      </c>
      <c r="C33" s="12">
        <f t="shared" si="11"/>
        <v>0</v>
      </c>
      <c r="D33" s="12">
        <f t="shared" si="11"/>
        <v>0</v>
      </c>
      <c r="E33" s="12">
        <f t="shared" si="11"/>
        <v>0</v>
      </c>
      <c r="F33" s="12">
        <f t="shared" si="11"/>
        <v>0</v>
      </c>
      <c r="G33" s="12">
        <f t="shared" si="11"/>
        <v>0</v>
      </c>
      <c r="H33" s="12">
        <f t="shared" si="11"/>
        <v>0</v>
      </c>
      <c r="I33" s="12">
        <f t="shared" si="11"/>
        <v>0</v>
      </c>
      <c r="J33" s="12">
        <f t="shared" si="11"/>
        <v>0</v>
      </c>
      <c r="K33" s="12">
        <f>+K22</f>
        <v>0</v>
      </c>
      <c r="L33" s="12">
        <f>+L22</f>
        <v>0</v>
      </c>
      <c r="M33" s="12">
        <f>+M22</f>
        <v>0</v>
      </c>
      <c r="N33" s="12">
        <f>+N22</f>
        <v>0</v>
      </c>
      <c r="O33" s="10">
        <f t="shared" si="8"/>
        <v>0</v>
      </c>
    </row>
    <row r="34" spans="1:15" s="2" customFormat="1" ht="12.75" thickBot="1">
      <c r="A34" s="11" t="s">
        <v>124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8"/>
        <v>0</v>
      </c>
    </row>
    <row r="35" spans="1:15" s="2" customFormat="1" ht="12.75" thickBot="1">
      <c r="A35" s="22" t="s">
        <v>106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0">
        <f t="shared" si="8"/>
        <v>0</v>
      </c>
    </row>
    <row r="36" spans="1:15" s="2" customFormat="1" ht="12.75" thickBot="1">
      <c r="A36" s="20" t="s">
        <v>29</v>
      </c>
      <c r="B36" s="21">
        <f>+SUM(B28:B35)</f>
        <v>20330</v>
      </c>
      <c r="C36" s="21">
        <f aca="true" t="shared" si="12" ref="C36:M36">+SUM(C28:C35)</f>
        <v>0</v>
      </c>
      <c r="D36" s="21">
        <f t="shared" si="12"/>
        <v>0</v>
      </c>
      <c r="E36" s="21">
        <f t="shared" si="12"/>
        <v>0</v>
      </c>
      <c r="F36" s="21">
        <f t="shared" si="12"/>
        <v>0</v>
      </c>
      <c r="G36" s="21">
        <f t="shared" si="12"/>
        <v>0</v>
      </c>
      <c r="H36" s="21">
        <f t="shared" si="12"/>
        <v>0</v>
      </c>
      <c r="I36" s="21">
        <f t="shared" si="12"/>
        <v>0</v>
      </c>
      <c r="J36" s="21">
        <f t="shared" si="12"/>
        <v>0</v>
      </c>
      <c r="K36" s="21">
        <f t="shared" si="12"/>
        <v>0</v>
      </c>
      <c r="L36" s="21">
        <f t="shared" si="12"/>
        <v>0</v>
      </c>
      <c r="M36" s="21">
        <f t="shared" si="12"/>
        <v>0</v>
      </c>
      <c r="N36" s="21">
        <f>+SUM(N28:N35)</f>
        <v>0</v>
      </c>
      <c r="O36" s="21">
        <f>+SUM(B36:M36)</f>
        <v>20330</v>
      </c>
    </row>
    <row r="37" s="2" customFormat="1" ht="12.75" thickBot="1">
      <c r="O37" s="6"/>
    </row>
    <row r="38" spans="1:15" s="2" customFormat="1" ht="12.75" thickBot="1">
      <c r="A38" s="20" t="s">
        <v>30</v>
      </c>
      <c r="B38" s="21">
        <f>+ROUND(B26-B36,2)</f>
        <v>86670</v>
      </c>
      <c r="C38" s="21">
        <f aca="true" t="shared" si="13" ref="C38:M38">+ROUND(C26-C36,2)</f>
        <v>0</v>
      </c>
      <c r="D38" s="21">
        <f t="shared" si="13"/>
        <v>0</v>
      </c>
      <c r="E38" s="21">
        <f t="shared" si="13"/>
        <v>0</v>
      </c>
      <c r="F38" s="21">
        <f t="shared" si="13"/>
        <v>0</v>
      </c>
      <c r="G38" s="21">
        <f t="shared" si="13"/>
        <v>0</v>
      </c>
      <c r="H38" s="21">
        <f t="shared" si="13"/>
        <v>0</v>
      </c>
      <c r="I38" s="21">
        <f t="shared" si="13"/>
        <v>0</v>
      </c>
      <c r="J38" s="21">
        <f t="shared" si="13"/>
        <v>0</v>
      </c>
      <c r="K38" s="21">
        <f t="shared" si="13"/>
        <v>0</v>
      </c>
      <c r="L38" s="21">
        <f t="shared" si="13"/>
        <v>0</v>
      </c>
      <c r="M38" s="21">
        <f t="shared" si="13"/>
        <v>0</v>
      </c>
      <c r="N38" s="21">
        <f>+ROUND(N26-N36,2)</f>
        <v>0</v>
      </c>
      <c r="O38" s="21">
        <f>+SUM(B38:M38)</f>
        <v>86670</v>
      </c>
    </row>
    <row r="39" spans="1:15" s="2" customFormat="1" ht="23.25">
      <c r="A39" s="119" t="s">
        <v>142</v>
      </c>
      <c r="B39" s="118">
        <f aca="true" t="shared" si="14" ref="B39:M39">+IF($E$1=B4,$N$125,0)</f>
        <v>722.51</v>
      </c>
      <c r="C39" s="118">
        <f t="shared" si="14"/>
        <v>0</v>
      </c>
      <c r="D39" s="118">
        <f t="shared" si="14"/>
        <v>0</v>
      </c>
      <c r="E39" s="118">
        <f t="shared" si="14"/>
        <v>0</v>
      </c>
      <c r="F39" s="118">
        <f t="shared" si="14"/>
        <v>0</v>
      </c>
      <c r="G39" s="118">
        <f t="shared" si="14"/>
        <v>0</v>
      </c>
      <c r="H39" s="118">
        <f t="shared" si="14"/>
        <v>0</v>
      </c>
      <c r="I39" s="118">
        <f t="shared" si="14"/>
        <v>0</v>
      </c>
      <c r="J39" s="118">
        <f t="shared" si="14"/>
        <v>0</v>
      </c>
      <c r="K39" s="118">
        <f t="shared" si="14"/>
        <v>0</v>
      </c>
      <c r="L39" s="118">
        <f t="shared" si="14"/>
        <v>0</v>
      </c>
      <c r="M39" s="118">
        <f t="shared" si="14"/>
        <v>0</v>
      </c>
      <c r="N39" s="6"/>
      <c r="O39" s="6"/>
    </row>
    <row r="40" spans="2:14" s="2" customFormat="1" ht="12.75" thickBo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5" s="2" customFormat="1" ht="12.75" thickBot="1">
      <c r="A41" s="24" t="s">
        <v>16</v>
      </c>
      <c r="B41" s="25">
        <v>159028.8</v>
      </c>
      <c r="C41" s="25">
        <f>+B41</f>
        <v>159028.8</v>
      </c>
      <c r="D41" s="25">
        <v>173945.7</v>
      </c>
      <c r="E41" s="25">
        <f aca="true" t="shared" si="15" ref="E41:N41">+D41</f>
        <v>173945.7</v>
      </c>
      <c r="F41" s="25">
        <f t="shared" si="15"/>
        <v>173945.7</v>
      </c>
      <c r="G41" s="25">
        <v>184591.18</v>
      </c>
      <c r="H41" s="25">
        <f t="shared" si="15"/>
        <v>184591.18</v>
      </c>
      <c r="I41" s="25">
        <f t="shared" si="15"/>
        <v>184591.18</v>
      </c>
      <c r="J41" s="25">
        <v>198435.51849999998</v>
      </c>
      <c r="K41" s="25">
        <f t="shared" si="15"/>
        <v>198435.51849999998</v>
      </c>
      <c r="L41" s="25">
        <f t="shared" si="15"/>
        <v>198435.51849999998</v>
      </c>
      <c r="M41" s="25">
        <f t="shared" si="15"/>
        <v>198435.51849999998</v>
      </c>
      <c r="N41" s="25">
        <f t="shared" si="15"/>
        <v>198435.51849999998</v>
      </c>
      <c r="O41" s="6"/>
    </row>
    <row r="42" spans="1:15" s="2" customFormat="1" ht="12">
      <c r="A42" s="26" t="s">
        <v>17</v>
      </c>
      <c r="B42" s="27">
        <f>30-B43</f>
        <v>30</v>
      </c>
      <c r="C42" s="27">
        <f aca="true" t="shared" si="16" ref="C42:N42">30-C43</f>
        <v>30</v>
      </c>
      <c r="D42" s="27">
        <f t="shared" si="16"/>
        <v>30</v>
      </c>
      <c r="E42" s="27">
        <f t="shared" si="16"/>
        <v>30</v>
      </c>
      <c r="F42" s="27">
        <f t="shared" si="16"/>
        <v>30</v>
      </c>
      <c r="G42" s="27">
        <f t="shared" si="16"/>
        <v>30</v>
      </c>
      <c r="H42" s="27">
        <f t="shared" si="16"/>
        <v>30</v>
      </c>
      <c r="I42" s="27">
        <f t="shared" si="16"/>
        <v>30</v>
      </c>
      <c r="J42" s="27">
        <f t="shared" si="16"/>
        <v>30</v>
      </c>
      <c r="K42" s="27">
        <f t="shared" si="16"/>
        <v>30</v>
      </c>
      <c r="L42" s="27">
        <f t="shared" si="16"/>
        <v>30</v>
      </c>
      <c r="M42" s="27">
        <f t="shared" si="16"/>
        <v>30</v>
      </c>
      <c r="N42" s="27">
        <f t="shared" si="16"/>
        <v>30</v>
      </c>
      <c r="O42" s="6"/>
    </row>
    <row r="43" spans="1:15" s="2" customFormat="1" ht="12">
      <c r="A43" s="28" t="s">
        <v>27</v>
      </c>
      <c r="B43" s="29">
        <f aca="true" t="shared" si="17" ref="B43:N43">+B3</f>
        <v>0</v>
      </c>
      <c r="C43" s="29">
        <f t="shared" si="17"/>
        <v>0</v>
      </c>
      <c r="D43" s="29">
        <f t="shared" si="17"/>
        <v>0</v>
      </c>
      <c r="E43" s="29">
        <f t="shared" si="17"/>
        <v>0</v>
      </c>
      <c r="F43" s="29">
        <f t="shared" si="17"/>
        <v>0</v>
      </c>
      <c r="G43" s="29">
        <f t="shared" si="17"/>
        <v>0</v>
      </c>
      <c r="H43" s="29">
        <f t="shared" si="17"/>
        <v>0</v>
      </c>
      <c r="I43" s="29">
        <f t="shared" si="17"/>
        <v>0</v>
      </c>
      <c r="J43" s="29">
        <f t="shared" si="17"/>
        <v>0</v>
      </c>
      <c r="K43" s="29">
        <f t="shared" si="17"/>
        <v>0</v>
      </c>
      <c r="L43" s="29">
        <f t="shared" si="17"/>
        <v>0</v>
      </c>
      <c r="M43" s="29">
        <f t="shared" si="17"/>
        <v>0</v>
      </c>
      <c r="N43" s="29">
        <f t="shared" si="17"/>
        <v>0</v>
      </c>
      <c r="O43" s="6"/>
    </row>
    <row r="44" spans="1:14" s="2" customFormat="1" ht="12.75" thickBot="1">
      <c r="A44" s="30" t="s">
        <v>18</v>
      </c>
      <c r="B44" s="31">
        <v>30</v>
      </c>
      <c r="C44" s="31">
        <v>60</v>
      </c>
      <c r="D44" s="31">
        <f>+C44+30</f>
        <v>90</v>
      </c>
      <c r="E44" s="31">
        <f aca="true" t="shared" si="18" ref="E44:L44">+D44+30</f>
        <v>120</v>
      </c>
      <c r="F44" s="31">
        <f t="shared" si="18"/>
        <v>150</v>
      </c>
      <c r="G44" s="31">
        <f t="shared" si="18"/>
        <v>180</v>
      </c>
      <c r="H44" s="31">
        <v>30</v>
      </c>
      <c r="I44" s="31">
        <v>60</v>
      </c>
      <c r="J44" s="31">
        <f t="shared" si="18"/>
        <v>90</v>
      </c>
      <c r="K44" s="31">
        <f t="shared" si="18"/>
        <v>120</v>
      </c>
      <c r="L44" s="31">
        <f t="shared" si="18"/>
        <v>150</v>
      </c>
      <c r="M44" s="31">
        <v>180</v>
      </c>
      <c r="N44" s="31">
        <v>180</v>
      </c>
    </row>
    <row r="45" s="2" customFormat="1" ht="12.75" thickBot="1"/>
    <row r="46" spans="1:14" s="2" customFormat="1" ht="12">
      <c r="A46" s="32" t="s">
        <v>101</v>
      </c>
      <c r="B46" s="117">
        <f>+IF((SUM(B6:B11)+B13+B15)&gt;B41/30*B42,B41/30*B42,(SUM(B6:B11)+B13+B15))+B22</f>
        <v>107000</v>
      </c>
      <c r="C46" s="117">
        <f aca="true" t="shared" si="19" ref="C46:N46">+IF((SUM(C6:C11)+C13+C15)&gt;C41/30*C42,C41/30*C42,(SUM(C6:C11)+C13+C15))+C22</f>
        <v>0</v>
      </c>
      <c r="D46" s="117">
        <f t="shared" si="19"/>
        <v>0</v>
      </c>
      <c r="E46" s="117">
        <f t="shared" si="19"/>
        <v>0</v>
      </c>
      <c r="F46" s="117">
        <f t="shared" si="19"/>
        <v>0</v>
      </c>
      <c r="G46" s="117">
        <f t="shared" si="19"/>
        <v>0</v>
      </c>
      <c r="H46" s="117">
        <f t="shared" si="19"/>
        <v>0</v>
      </c>
      <c r="I46" s="117">
        <f t="shared" si="19"/>
        <v>0</v>
      </c>
      <c r="J46" s="117">
        <f t="shared" si="19"/>
        <v>0</v>
      </c>
      <c r="K46" s="117">
        <f t="shared" si="19"/>
        <v>0</v>
      </c>
      <c r="L46" s="117">
        <f t="shared" si="19"/>
        <v>0</v>
      </c>
      <c r="M46" s="117">
        <f t="shared" si="19"/>
        <v>0</v>
      </c>
      <c r="N46" s="117">
        <f t="shared" si="19"/>
        <v>0</v>
      </c>
    </row>
    <row r="47" spans="1:14" s="2" customFormat="1" ht="12">
      <c r="A47" s="28" t="s">
        <v>99</v>
      </c>
      <c r="B47" s="29">
        <f aca="true" t="shared" si="20" ref="B47:M47">+(IF(B12=0,0,IF(B12&gt;B41/30*B43,B41/30*B43,B12)))</f>
        <v>0</v>
      </c>
      <c r="C47" s="29">
        <f>+(IF(C12=0,0,IF(C12&gt;C41/30*C43,C41/30*C43,C12)))</f>
        <v>0</v>
      </c>
      <c r="D47" s="29">
        <f t="shared" si="20"/>
        <v>0</v>
      </c>
      <c r="E47" s="29">
        <f t="shared" si="20"/>
        <v>0</v>
      </c>
      <c r="F47" s="29">
        <f t="shared" si="20"/>
        <v>0</v>
      </c>
      <c r="G47" s="29">
        <f t="shared" si="20"/>
        <v>0</v>
      </c>
      <c r="H47" s="29">
        <f t="shared" si="20"/>
        <v>0</v>
      </c>
      <c r="I47" s="29">
        <f t="shared" si="20"/>
        <v>0</v>
      </c>
      <c r="J47" s="29">
        <f t="shared" si="20"/>
        <v>0</v>
      </c>
      <c r="K47" s="29">
        <f t="shared" si="20"/>
        <v>0</v>
      </c>
      <c r="L47" s="29">
        <f t="shared" si="20"/>
        <v>0</v>
      </c>
      <c r="M47" s="29">
        <f t="shared" si="20"/>
        <v>0</v>
      </c>
      <c r="N47" s="29">
        <f>+(IF(N12=0,0,IF(N12&gt;N41/30*N43,N41/30*N43,N12)))</f>
        <v>0</v>
      </c>
    </row>
    <row r="48" spans="1:14" s="2" customFormat="1" ht="12.75" thickBot="1">
      <c r="A48" s="30" t="s">
        <v>100</v>
      </c>
      <c r="B48" s="31">
        <f>+IF((B16+B17+B14)&gt;B41/360*B44,B41/360*B44,B16+B17+B14)</f>
        <v>0</v>
      </c>
      <c r="C48" s="31">
        <f aca="true" t="shared" si="21" ref="C48:N48">+IF((C16+C17+C14)&gt;C41/360*C44,C41/360*C44,C16+C17+C14)</f>
        <v>0</v>
      </c>
      <c r="D48" s="31">
        <f t="shared" si="21"/>
        <v>0</v>
      </c>
      <c r="E48" s="31">
        <f t="shared" si="21"/>
        <v>0</v>
      </c>
      <c r="F48" s="31">
        <f t="shared" si="21"/>
        <v>0</v>
      </c>
      <c r="G48" s="31">
        <f>+IF((G16+G17+G14)&gt;G41/360*G44-SUM(B48:F48),G41/360*G44-SUM(B48:F48),G16+G17+G14)</f>
        <v>0</v>
      </c>
      <c r="H48" s="31">
        <f t="shared" si="21"/>
        <v>0</v>
      </c>
      <c r="I48" s="31">
        <f t="shared" si="21"/>
        <v>0</v>
      </c>
      <c r="J48" s="31">
        <f t="shared" si="21"/>
        <v>0</v>
      </c>
      <c r="K48" s="31">
        <f t="shared" si="21"/>
        <v>0</v>
      </c>
      <c r="L48" s="31">
        <f t="shared" si="21"/>
        <v>0</v>
      </c>
      <c r="M48" s="31">
        <f t="shared" si="21"/>
        <v>0</v>
      </c>
      <c r="N48" s="31">
        <f t="shared" si="21"/>
        <v>0</v>
      </c>
    </row>
    <row r="49" spans="1:14" s="2" customFormat="1" ht="12.75" thickBot="1">
      <c r="A49" s="34" t="s">
        <v>102</v>
      </c>
      <c r="B49" s="35">
        <f>+SUM(B46:B48)</f>
        <v>107000</v>
      </c>
      <c r="C49" s="35">
        <f aca="true" t="shared" si="22" ref="C49:M49">+SUM(C46:C48)</f>
        <v>0</v>
      </c>
      <c r="D49" s="35">
        <f t="shared" si="22"/>
        <v>0</v>
      </c>
      <c r="E49" s="35">
        <f t="shared" si="22"/>
        <v>0</v>
      </c>
      <c r="F49" s="35">
        <f t="shared" si="22"/>
        <v>0</v>
      </c>
      <c r="G49" s="35">
        <f t="shared" si="22"/>
        <v>0</v>
      </c>
      <c r="H49" s="35">
        <f t="shared" si="22"/>
        <v>0</v>
      </c>
      <c r="I49" s="35">
        <f t="shared" si="22"/>
        <v>0</v>
      </c>
      <c r="J49" s="35">
        <f t="shared" si="22"/>
        <v>0</v>
      </c>
      <c r="K49" s="35">
        <f t="shared" si="22"/>
        <v>0</v>
      </c>
      <c r="L49" s="35">
        <f t="shared" si="22"/>
        <v>0</v>
      </c>
      <c r="M49" s="35">
        <f t="shared" si="22"/>
        <v>0</v>
      </c>
      <c r="N49" s="35">
        <f>+SUM(N46:N48)</f>
        <v>0</v>
      </c>
    </row>
    <row r="50" spans="2:4" s="2" customFormat="1" ht="12">
      <c r="B50" s="6"/>
      <c r="C50" s="6"/>
      <c r="D50" s="6"/>
    </row>
    <row r="51" s="2" customFormat="1" ht="12">
      <c r="C51" s="6"/>
    </row>
    <row r="52" s="2" customFormat="1" ht="12.75" thickBot="1"/>
    <row r="53" spans="2:14" s="2" customFormat="1" ht="12.75" thickBot="1">
      <c r="B53" s="292" t="s">
        <v>34</v>
      </c>
      <c r="C53" s="293"/>
      <c r="D53" s="293"/>
      <c r="E53" s="293"/>
      <c r="F53" s="294"/>
      <c r="I53" s="295" t="s">
        <v>63</v>
      </c>
      <c r="J53" s="296"/>
      <c r="K53" s="296"/>
      <c r="L53" s="24" t="s">
        <v>59</v>
      </c>
      <c r="M53" s="24" t="s">
        <v>60</v>
      </c>
      <c r="N53" s="24" t="s">
        <v>61</v>
      </c>
    </row>
    <row r="54" spans="2:14" s="2" customFormat="1" ht="12.75" thickBot="1">
      <c r="B54" s="36" t="s">
        <v>52</v>
      </c>
      <c r="C54" s="24" t="s">
        <v>53</v>
      </c>
      <c r="D54" s="37" t="s">
        <v>54</v>
      </c>
      <c r="E54" s="24" t="s">
        <v>55</v>
      </c>
      <c r="F54" s="38" t="s">
        <v>56</v>
      </c>
      <c r="I54" s="297" t="str">
        <f aca="true" t="shared" si="23" ref="I54:I70">+A6</f>
        <v>Sueldo Fijo</v>
      </c>
      <c r="J54" s="298"/>
      <c r="K54" s="298"/>
      <c r="L54" s="39"/>
      <c r="M54" s="39">
        <f>+O6</f>
        <v>100000</v>
      </c>
      <c r="N54" s="39">
        <f aca="true" t="shared" si="24" ref="N54:N72">+L54+M54</f>
        <v>100000</v>
      </c>
    </row>
    <row r="55" spans="2:14" s="2" customFormat="1" ht="12">
      <c r="B55" s="40">
        <f aca="true" t="shared" si="25" ref="B55:D63">+ROUND(D177/12*$E$1,2)</f>
        <v>0</v>
      </c>
      <c r="C55" s="40">
        <f t="shared" si="25"/>
        <v>5377.72</v>
      </c>
      <c r="D55" s="40">
        <f t="shared" si="25"/>
        <v>0</v>
      </c>
      <c r="E55" s="41">
        <f aca="true" t="shared" si="26" ref="E55:E63">+G177</f>
        <v>5</v>
      </c>
      <c r="F55" s="33">
        <f aca="true" t="shared" si="27" ref="F55:F63">+ROUND(H177/12*$E$1,2)</f>
        <v>0</v>
      </c>
      <c r="I55" s="290" t="str">
        <f t="shared" si="23"/>
        <v>Novedades del mes</v>
      </c>
      <c r="J55" s="291"/>
      <c r="K55" s="291"/>
      <c r="L55" s="42"/>
      <c r="M55" s="42">
        <f>+O7</f>
        <v>0</v>
      </c>
      <c r="N55" s="42">
        <f t="shared" si="24"/>
        <v>0</v>
      </c>
    </row>
    <row r="56" spans="2:14" s="2" customFormat="1" ht="12">
      <c r="B56" s="43">
        <f t="shared" si="25"/>
        <v>5377.72</v>
      </c>
      <c r="C56" s="43">
        <f t="shared" si="25"/>
        <v>10755.44</v>
      </c>
      <c r="D56" s="43">
        <f t="shared" si="25"/>
        <v>268.89</v>
      </c>
      <c r="E56" s="44">
        <f t="shared" si="26"/>
        <v>9</v>
      </c>
      <c r="F56" s="27">
        <f t="shared" si="27"/>
        <v>5377.72</v>
      </c>
      <c r="I56" s="290" t="str">
        <f t="shared" si="23"/>
        <v>HORAS EXTRAS 100% EXCENTAS</v>
      </c>
      <c r="J56" s="291"/>
      <c r="K56" s="291"/>
      <c r="L56" s="42"/>
      <c r="M56" s="42">
        <f>+O8*0.5</f>
        <v>2000</v>
      </c>
      <c r="N56" s="42">
        <f t="shared" si="24"/>
        <v>2000</v>
      </c>
    </row>
    <row r="57" spans="2:14" s="2" customFormat="1" ht="12">
      <c r="B57" s="43">
        <f t="shared" si="25"/>
        <v>10755.44</v>
      </c>
      <c r="C57" s="43">
        <f t="shared" si="25"/>
        <v>16133.16</v>
      </c>
      <c r="D57" s="43">
        <f t="shared" si="25"/>
        <v>752.88</v>
      </c>
      <c r="E57" s="44">
        <f t="shared" si="26"/>
        <v>12</v>
      </c>
      <c r="F57" s="27">
        <f t="shared" si="27"/>
        <v>10755.44</v>
      </c>
      <c r="I57" s="290" t="str">
        <f t="shared" si="23"/>
        <v>HORAS EXTRAS 50% EXCENTAS</v>
      </c>
      <c r="J57" s="291"/>
      <c r="K57" s="291"/>
      <c r="L57" s="42"/>
      <c r="M57" s="42">
        <f>+O9*0.666666667</f>
        <v>2000.0000009999999</v>
      </c>
      <c r="N57" s="42">
        <f t="shared" si="24"/>
        <v>2000.0000009999999</v>
      </c>
    </row>
    <row r="58" spans="2:14" s="2" customFormat="1" ht="12">
      <c r="B58" s="43">
        <f t="shared" si="25"/>
        <v>16133.16</v>
      </c>
      <c r="C58" s="43">
        <f t="shared" si="25"/>
        <v>21510.88</v>
      </c>
      <c r="D58" s="43">
        <f t="shared" si="25"/>
        <v>1398.21</v>
      </c>
      <c r="E58" s="44">
        <f t="shared" si="26"/>
        <v>15</v>
      </c>
      <c r="F58" s="27">
        <f t="shared" si="27"/>
        <v>16133.16</v>
      </c>
      <c r="I58" s="290" t="str">
        <f t="shared" si="23"/>
        <v>HORAS EXTRAS 50%</v>
      </c>
      <c r="J58" s="291"/>
      <c r="K58" s="291"/>
      <c r="L58" s="42"/>
      <c r="M58" s="42">
        <f>+O10</f>
        <v>0</v>
      </c>
      <c r="N58" s="42">
        <f t="shared" si="24"/>
        <v>0</v>
      </c>
    </row>
    <row r="59" spans="2:14" s="2" customFormat="1" ht="12">
      <c r="B59" s="43">
        <f t="shared" si="25"/>
        <v>21510.88</v>
      </c>
      <c r="C59" s="43">
        <f t="shared" si="25"/>
        <v>32266.32</v>
      </c>
      <c r="D59" s="43">
        <f t="shared" si="25"/>
        <v>2204.87</v>
      </c>
      <c r="E59" s="44">
        <f t="shared" si="26"/>
        <v>19</v>
      </c>
      <c r="F59" s="27">
        <f t="shared" si="27"/>
        <v>21510.88</v>
      </c>
      <c r="I59" s="290" t="str">
        <f t="shared" si="23"/>
        <v>Premios</v>
      </c>
      <c r="J59" s="291"/>
      <c r="K59" s="291"/>
      <c r="L59" s="42"/>
      <c r="M59" s="42">
        <f>+O11</f>
        <v>0</v>
      </c>
      <c r="N59" s="42">
        <f t="shared" si="24"/>
        <v>0</v>
      </c>
    </row>
    <row r="60" spans="2:14" s="2" customFormat="1" ht="15" customHeight="1">
      <c r="B60" s="43">
        <f t="shared" si="25"/>
        <v>32266.32</v>
      </c>
      <c r="C60" s="43">
        <f t="shared" si="25"/>
        <v>43021.76</v>
      </c>
      <c r="D60" s="43">
        <f t="shared" si="25"/>
        <v>4248.4</v>
      </c>
      <c r="E60" s="44">
        <f t="shared" si="26"/>
        <v>23</v>
      </c>
      <c r="F60" s="27">
        <f t="shared" si="27"/>
        <v>32266.32</v>
      </c>
      <c r="I60" s="290" t="str">
        <f t="shared" si="23"/>
        <v>Vacaciones</v>
      </c>
      <c r="J60" s="291"/>
      <c r="K60" s="291"/>
      <c r="L60" s="42"/>
      <c r="M60" s="42">
        <f>+O12</f>
        <v>0</v>
      </c>
      <c r="N60" s="42">
        <f t="shared" si="24"/>
        <v>0</v>
      </c>
    </row>
    <row r="61" spans="2:14" s="2" customFormat="1" ht="15" customHeight="1">
      <c r="B61" s="43">
        <f t="shared" si="25"/>
        <v>43021.76</v>
      </c>
      <c r="C61" s="43">
        <f t="shared" si="25"/>
        <v>64532.64</v>
      </c>
      <c r="D61" s="43">
        <f t="shared" si="25"/>
        <v>6722.15</v>
      </c>
      <c r="E61" s="44">
        <f t="shared" si="26"/>
        <v>27</v>
      </c>
      <c r="F61" s="27">
        <f t="shared" si="27"/>
        <v>43021.76</v>
      </c>
      <c r="I61" s="278" t="str">
        <f t="shared" si="23"/>
        <v>Dto Vacaciones</v>
      </c>
      <c r="J61" s="279"/>
      <c r="K61" s="280"/>
      <c r="L61" s="42"/>
      <c r="M61" s="42">
        <f>+O13</f>
        <v>0</v>
      </c>
      <c r="N61" s="42">
        <f t="shared" si="24"/>
        <v>0</v>
      </c>
    </row>
    <row r="62" spans="2:14" s="2" customFormat="1" ht="15" customHeight="1">
      <c r="B62" s="43">
        <f t="shared" si="25"/>
        <v>64532.64</v>
      </c>
      <c r="C62" s="43">
        <f t="shared" si="25"/>
        <v>86043.52</v>
      </c>
      <c r="D62" s="43">
        <f t="shared" si="25"/>
        <v>12530.09</v>
      </c>
      <c r="E62" s="44">
        <f t="shared" si="26"/>
        <v>31</v>
      </c>
      <c r="F62" s="27">
        <f t="shared" si="27"/>
        <v>64532.64</v>
      </c>
      <c r="I62" s="278" t="str">
        <f t="shared" si="23"/>
        <v>Sac sobre gratificacion</v>
      </c>
      <c r="J62" s="279"/>
      <c r="K62" s="280"/>
      <c r="L62" s="42"/>
      <c r="M62" s="42">
        <f>+O14</f>
        <v>0</v>
      </c>
      <c r="N62" s="42">
        <f t="shared" si="24"/>
        <v>0</v>
      </c>
    </row>
    <row r="63" spans="2:14" s="2" customFormat="1" ht="15.75" customHeight="1" thickBot="1">
      <c r="B63" s="45">
        <f t="shared" si="25"/>
        <v>86043.52</v>
      </c>
      <c r="C63" s="45">
        <f t="shared" si="25"/>
        <v>83333333.25</v>
      </c>
      <c r="D63" s="45">
        <f t="shared" si="25"/>
        <v>19198.46</v>
      </c>
      <c r="E63" s="46">
        <f t="shared" si="26"/>
        <v>35</v>
      </c>
      <c r="F63" s="47">
        <f t="shared" si="27"/>
        <v>86043.52</v>
      </c>
      <c r="I63" s="278" t="str">
        <f t="shared" si="23"/>
        <v>Gratificacion / Premio prorrateable</v>
      </c>
      <c r="J63" s="279"/>
      <c r="K63" s="280"/>
      <c r="L63" s="42"/>
      <c r="M63" s="42">
        <f>+N191</f>
        <v>0</v>
      </c>
      <c r="N63" s="42">
        <f t="shared" si="24"/>
        <v>0</v>
      </c>
    </row>
    <row r="64" spans="9:14" s="2" customFormat="1" ht="15" customHeight="1">
      <c r="I64" s="278" t="str">
        <f t="shared" si="23"/>
        <v>SAC Gratificacion Premio Prorrateable</v>
      </c>
      <c r="J64" s="279"/>
      <c r="K64" s="280"/>
      <c r="L64" s="42"/>
      <c r="M64" s="42">
        <f>+N192</f>
        <v>0</v>
      </c>
      <c r="N64" s="42">
        <f t="shared" si="24"/>
        <v>0</v>
      </c>
    </row>
    <row r="65" spans="9:14" s="2" customFormat="1" ht="15" customHeight="1">
      <c r="I65" s="278" t="str">
        <f t="shared" si="23"/>
        <v>SAC </v>
      </c>
      <c r="J65" s="279"/>
      <c r="K65" s="280"/>
      <c r="L65" s="42"/>
      <c r="M65" s="42">
        <f>+O17</f>
        <v>0</v>
      </c>
      <c r="N65" s="42">
        <f t="shared" si="24"/>
        <v>0</v>
      </c>
    </row>
    <row r="66" spans="9:14" s="2" customFormat="1" ht="12.75" thickBot="1">
      <c r="I66" s="278" t="str">
        <f t="shared" si="23"/>
        <v>Sueldo No rem</v>
      </c>
      <c r="J66" s="279"/>
      <c r="K66" s="280"/>
      <c r="L66" s="42"/>
      <c r="M66" s="42">
        <f>+O18</f>
        <v>0</v>
      </c>
      <c r="N66" s="42">
        <f t="shared" si="24"/>
        <v>0</v>
      </c>
    </row>
    <row r="67" spans="1:14" s="2" customFormat="1" ht="15.75" customHeight="1" thickBot="1">
      <c r="A67" s="138" t="s">
        <v>57</v>
      </c>
      <c r="B67" s="48" t="s">
        <v>58</v>
      </c>
      <c r="I67" s="278">
        <f t="shared" si="23"/>
      </c>
      <c r="J67" s="279"/>
      <c r="K67" s="280"/>
      <c r="L67" s="42"/>
      <c r="M67" s="42">
        <f>+O19</f>
        <v>0</v>
      </c>
      <c r="N67" s="42">
        <f t="shared" si="24"/>
        <v>0</v>
      </c>
    </row>
    <row r="68" spans="1:14" s="2" customFormat="1" ht="15" customHeight="1">
      <c r="A68" s="49" t="s">
        <v>36</v>
      </c>
      <c r="B68" s="10">
        <v>0</v>
      </c>
      <c r="I68" s="278" t="str">
        <f t="shared" si="23"/>
        <v>Conceptos indemnizatorios</v>
      </c>
      <c r="J68" s="279"/>
      <c r="K68" s="280"/>
      <c r="L68" s="42"/>
      <c r="M68" s="42">
        <f>+O20</f>
        <v>0</v>
      </c>
      <c r="N68" s="42">
        <f t="shared" si="24"/>
        <v>0</v>
      </c>
    </row>
    <row r="69" spans="1:14" s="2" customFormat="1" ht="15" customHeight="1">
      <c r="A69" s="50" t="s">
        <v>37</v>
      </c>
      <c r="B69" s="13">
        <v>0</v>
      </c>
      <c r="I69" s="278" t="str">
        <f t="shared" si="23"/>
        <v>Gratificaciones por Cese / Indemn</v>
      </c>
      <c r="J69" s="279"/>
      <c r="K69" s="280"/>
      <c r="L69" s="42"/>
      <c r="M69" s="42">
        <v>0</v>
      </c>
      <c r="N69" s="42">
        <v>0</v>
      </c>
    </row>
    <row r="70" spans="1:14" s="2" customFormat="1" ht="15.75" customHeight="1">
      <c r="A70" s="50" t="s">
        <v>39</v>
      </c>
      <c r="B70" s="13">
        <v>0</v>
      </c>
      <c r="I70" s="278" t="str">
        <f t="shared" si="23"/>
        <v>Beneficios Sanidad Excentos IG</v>
      </c>
      <c r="J70" s="279"/>
      <c r="K70" s="280"/>
      <c r="L70" s="42"/>
      <c r="M70" s="42">
        <f>+O22</f>
        <v>0</v>
      </c>
      <c r="N70" s="42">
        <v>0</v>
      </c>
    </row>
    <row r="71" spans="1:14" s="2" customFormat="1" ht="15.75" customHeight="1" thickBot="1">
      <c r="A71" s="50" t="s">
        <v>104</v>
      </c>
      <c r="B71" s="13">
        <v>0</v>
      </c>
      <c r="I71" s="281" t="str">
        <f>+A24</f>
        <v>SAC imputacion mensual</v>
      </c>
      <c r="J71" s="282"/>
      <c r="K71" s="283"/>
      <c r="L71" s="16"/>
      <c r="M71" s="16">
        <f>+O24</f>
        <v>8916.67</v>
      </c>
      <c r="N71" s="16">
        <f t="shared" si="24"/>
        <v>8916.67</v>
      </c>
    </row>
    <row r="72" spans="1:14" s="2" customFormat="1" ht="15.75" customHeight="1" thickBot="1">
      <c r="A72" s="50" t="s">
        <v>131</v>
      </c>
      <c r="B72" s="13">
        <v>0</v>
      </c>
      <c r="I72" s="284" t="str">
        <f>+A25</f>
        <v>Descuentos SAC</v>
      </c>
      <c r="J72" s="285"/>
      <c r="K72" s="286"/>
      <c r="L72" s="16"/>
      <c r="M72" s="16">
        <f>+O25</f>
        <v>-1694.1666666666667</v>
      </c>
      <c r="N72" s="16">
        <f t="shared" si="24"/>
        <v>-1694.1666666666667</v>
      </c>
    </row>
    <row r="73" spans="1:17" s="2" customFormat="1" ht="12.75" thickBot="1">
      <c r="A73" s="50" t="s">
        <v>105</v>
      </c>
      <c r="B73" s="13">
        <v>0</v>
      </c>
      <c r="I73" s="265" t="str">
        <f>+A26</f>
        <v>Bruto TOPE GCIA</v>
      </c>
      <c r="J73" s="266"/>
      <c r="K73" s="267"/>
      <c r="L73" s="51">
        <f>+SUM(L54:L72)</f>
        <v>0</v>
      </c>
      <c r="M73" s="51">
        <f>+SUM(M54:M72)</f>
        <v>111222.50333433332</v>
      </c>
      <c r="N73" s="51">
        <f>+SUM(N54:N72)</f>
        <v>111222.50333433332</v>
      </c>
      <c r="Q73" s="6"/>
    </row>
    <row r="74" spans="1:2" s="2" customFormat="1" ht="12.75" thickBot="1">
      <c r="A74" s="50" t="s">
        <v>42</v>
      </c>
      <c r="B74" s="13">
        <v>0</v>
      </c>
    </row>
    <row r="75" spans="1:14" s="2" customFormat="1" ht="12.75" thickBot="1">
      <c r="A75" s="50" t="s">
        <v>43</v>
      </c>
      <c r="B75" s="13">
        <v>0</v>
      </c>
      <c r="I75" s="265" t="s">
        <v>62</v>
      </c>
      <c r="J75" s="266"/>
      <c r="K75" s="267"/>
      <c r="L75" s="24" t="s">
        <v>59</v>
      </c>
      <c r="M75" s="24" t="s">
        <v>60</v>
      </c>
      <c r="N75" s="24" t="s">
        <v>61</v>
      </c>
    </row>
    <row r="76" spans="1:14" s="2" customFormat="1" ht="12">
      <c r="A76" s="50" t="s">
        <v>72</v>
      </c>
      <c r="B76" s="13">
        <v>0</v>
      </c>
      <c r="I76" s="287" t="str">
        <f>+A28</f>
        <v>Jubilacion</v>
      </c>
      <c r="J76" s="288"/>
      <c r="K76" s="289"/>
      <c r="L76" s="39"/>
      <c r="M76" s="39">
        <f>+O28</f>
        <v>11770</v>
      </c>
      <c r="N76" s="39">
        <f>+L76+M76-N132</f>
        <v>11440.00000011</v>
      </c>
    </row>
    <row r="77" spans="1:14" s="2" customFormat="1" ht="12">
      <c r="A77" s="50" t="s">
        <v>46</v>
      </c>
      <c r="B77" s="13">
        <v>0</v>
      </c>
      <c r="I77" s="278" t="str">
        <f>+A29</f>
        <v>Ley 19032</v>
      </c>
      <c r="J77" s="279"/>
      <c r="K77" s="280"/>
      <c r="L77" s="42"/>
      <c r="M77" s="42">
        <f>+O29</f>
        <v>3210</v>
      </c>
      <c r="N77" s="39">
        <f>+L77+M77-N133</f>
        <v>3120.00000003</v>
      </c>
    </row>
    <row r="78" spans="1:14" s="2" customFormat="1" ht="12">
      <c r="A78" s="50" t="s">
        <v>47</v>
      </c>
      <c r="B78" s="13">
        <v>0</v>
      </c>
      <c r="I78" s="278" t="str">
        <f>+A30</f>
        <v>O. Social</v>
      </c>
      <c r="J78" s="279"/>
      <c r="K78" s="280"/>
      <c r="L78" s="42"/>
      <c r="M78" s="42">
        <f>+O30</f>
        <v>3210</v>
      </c>
      <c r="N78" s="39">
        <f>+L78+M78-N134</f>
        <v>3120.00000003</v>
      </c>
    </row>
    <row r="79" spans="1:14" s="2" customFormat="1" ht="15.75" customHeight="1">
      <c r="A79" s="50" t="s">
        <v>132</v>
      </c>
      <c r="B79" s="13">
        <v>0</v>
      </c>
      <c r="I79" s="278" t="str">
        <f>+A32</f>
        <v>Sindicato</v>
      </c>
      <c r="J79" s="279"/>
      <c r="K79" s="280"/>
      <c r="L79" s="42"/>
      <c r="M79" s="42">
        <f>+O32</f>
        <v>2140</v>
      </c>
      <c r="N79" s="42">
        <f>+L79+M79-N136</f>
        <v>2080.00000002</v>
      </c>
    </row>
    <row r="80" spans="1:14" s="2" customFormat="1" ht="12.75" thickBot="1">
      <c r="A80" s="50" t="s">
        <v>103</v>
      </c>
      <c r="B80" s="13">
        <v>0</v>
      </c>
      <c r="I80" s="281"/>
      <c r="J80" s="282"/>
      <c r="K80" s="283"/>
      <c r="L80" s="16"/>
      <c r="M80" s="16"/>
      <c r="N80" s="16"/>
    </row>
    <row r="81" spans="1:14" s="2" customFormat="1" ht="12.75" thickBot="1">
      <c r="A81" s="50" t="s">
        <v>50</v>
      </c>
      <c r="B81" s="13">
        <v>0</v>
      </c>
      <c r="L81" s="6"/>
      <c r="M81" s="6"/>
      <c r="N81" s="6"/>
    </row>
    <row r="82" spans="1:15" s="2" customFormat="1" ht="12.75" thickBot="1">
      <c r="A82" s="53" t="s">
        <v>51</v>
      </c>
      <c r="B82" s="13">
        <v>0</v>
      </c>
      <c r="I82" s="265" t="s">
        <v>68</v>
      </c>
      <c r="J82" s="266"/>
      <c r="K82" s="267"/>
      <c r="L82" s="51">
        <f>+SUM(L76:L81)</f>
        <v>0</v>
      </c>
      <c r="M82" s="51">
        <f>+SUM(M76:M81)</f>
        <v>20330</v>
      </c>
      <c r="N82" s="51">
        <f>+SUM(N76:N81)</f>
        <v>19760.000000189997</v>
      </c>
      <c r="O82" s="6"/>
    </row>
    <row r="83" spans="1:14" s="2" customFormat="1" ht="15.75" customHeight="1" thickBot="1">
      <c r="A83" s="15" t="s">
        <v>85</v>
      </c>
      <c r="B83" s="17">
        <v>0</v>
      </c>
      <c r="L83" s="6"/>
      <c r="M83" s="6"/>
      <c r="N83" s="6"/>
    </row>
    <row r="84" spans="1:13" s="2" customFormat="1" ht="12.75" thickBot="1">
      <c r="A84" s="15" t="s">
        <v>137</v>
      </c>
      <c r="B84" s="17">
        <v>0</v>
      </c>
      <c r="I84" s="265" t="s">
        <v>64</v>
      </c>
      <c r="J84" s="266"/>
      <c r="K84" s="266"/>
      <c r="L84" s="266"/>
      <c r="M84" s="267"/>
    </row>
    <row r="85" spans="9:14" s="2" customFormat="1" ht="12">
      <c r="I85" s="269" t="str">
        <f>+A70</f>
        <v>Servicio Doméstico</v>
      </c>
      <c r="J85" s="270"/>
      <c r="K85" s="270"/>
      <c r="L85" s="270"/>
      <c r="M85" s="271"/>
      <c r="N85" s="54">
        <f>+IF(B70&gt;B120,B120,B70)</f>
        <v>0</v>
      </c>
    </row>
    <row r="86" spans="9:14" s="2" customFormat="1" ht="12">
      <c r="I86" s="275" t="str">
        <f>+A72</f>
        <v>Seguro mixto</v>
      </c>
      <c r="J86" s="276"/>
      <c r="K86" s="276"/>
      <c r="L86" s="276"/>
      <c r="M86" s="277"/>
      <c r="N86" s="42">
        <f>+IF(E1=12,IF(B72&gt;B116,B116,B72),0)</f>
        <v>0</v>
      </c>
    </row>
    <row r="87" spans="9:14" s="2" customFormat="1" ht="12">
      <c r="I87" s="135" t="s">
        <v>134</v>
      </c>
      <c r="J87" s="136"/>
      <c r="K87" s="136"/>
      <c r="L87" s="136"/>
      <c r="M87" s="137"/>
      <c r="N87" s="42">
        <f>+IF(E1=12,IF(B71&gt;B116,B116,B71),0)</f>
        <v>0</v>
      </c>
    </row>
    <row r="88" spans="9:14" s="2" customFormat="1" ht="12">
      <c r="I88" s="275" t="str">
        <f>+A73</f>
        <v>Gastos de Sepelio</v>
      </c>
      <c r="J88" s="276"/>
      <c r="K88" s="276"/>
      <c r="L88" s="276"/>
      <c r="M88" s="277"/>
      <c r="N88" s="42">
        <f>+IF(B73&gt;B118,B118,B73)</f>
        <v>0</v>
      </c>
    </row>
    <row r="89" spans="9:14" s="2" customFormat="1" ht="12">
      <c r="I89" s="275" t="str">
        <f>+A74</f>
        <v>Intereses Hipotecarios</v>
      </c>
      <c r="J89" s="276"/>
      <c r="K89" s="276"/>
      <c r="L89" s="276"/>
      <c r="M89" s="277"/>
      <c r="N89" s="42">
        <f>+IF(B74&gt;B119,B119,B74)</f>
        <v>0</v>
      </c>
    </row>
    <row r="90" spans="9:14" s="2" customFormat="1" ht="12">
      <c r="I90" s="275" t="str">
        <f>+A75</f>
        <v>Alquileres</v>
      </c>
      <c r="J90" s="276"/>
      <c r="K90" s="276"/>
      <c r="L90" s="276"/>
      <c r="M90" s="277"/>
      <c r="N90" s="42">
        <f>+IF(B75&gt;B121,B121,B75)</f>
        <v>0</v>
      </c>
    </row>
    <row r="91" spans="9:14" s="2" customFormat="1" ht="12">
      <c r="I91" s="275" t="str">
        <f>+A76</f>
        <v>Aportes Jubilatorios cajas Prov.</v>
      </c>
      <c r="J91" s="276"/>
      <c r="K91" s="276"/>
      <c r="L91" s="276"/>
      <c r="M91" s="277"/>
      <c r="N91" s="42">
        <f>+B76</f>
        <v>0</v>
      </c>
    </row>
    <row r="92" spans="9:14" s="2" customFormat="1" ht="12">
      <c r="I92" s="275" t="str">
        <f>+A77</f>
        <v>Viaticos</v>
      </c>
      <c r="J92" s="276"/>
      <c r="K92" s="276"/>
      <c r="L92" s="276"/>
      <c r="M92" s="277"/>
      <c r="N92" s="42">
        <f>+IF(B77&gt;B120*0.4,B120*0.4,B77)</f>
        <v>0</v>
      </c>
    </row>
    <row r="93" spans="9:14" s="2" customFormat="1" ht="12">
      <c r="I93" s="111" t="s">
        <v>135</v>
      </c>
      <c r="J93" s="112"/>
      <c r="K93" s="112"/>
      <c r="L93" s="112"/>
      <c r="M93" s="113"/>
      <c r="N93" s="114">
        <f>+IF(E1=12,IF(B79&gt;B116,B116,B79),0)</f>
        <v>0</v>
      </c>
    </row>
    <row r="94" spans="9:14" s="2" customFormat="1" ht="12">
      <c r="I94" s="111" t="s">
        <v>136</v>
      </c>
      <c r="J94" s="112"/>
      <c r="K94" s="112"/>
      <c r="L94" s="112"/>
      <c r="M94" s="113"/>
      <c r="N94" s="114">
        <f>+IF(B84&gt;B120,B120,B84)</f>
        <v>0</v>
      </c>
    </row>
    <row r="95" spans="9:14" s="2" customFormat="1" ht="12.75" thickBot="1">
      <c r="I95" s="272" t="str">
        <f>+A78</f>
        <v>Aporte SGR</v>
      </c>
      <c r="J95" s="273"/>
      <c r="K95" s="273"/>
      <c r="L95" s="273"/>
      <c r="M95" s="274"/>
      <c r="N95" s="16">
        <f>+B78</f>
        <v>0</v>
      </c>
    </row>
    <row r="96" s="2" customFormat="1" ht="15.75" customHeight="1" thickBot="1"/>
    <row r="97" spans="9:14" s="2" customFormat="1" ht="12.75" thickBot="1">
      <c r="I97" s="265" t="s">
        <v>81</v>
      </c>
      <c r="J97" s="266"/>
      <c r="K97" s="266"/>
      <c r="L97" s="266"/>
      <c r="M97" s="267"/>
      <c r="N97" s="51">
        <f>+SUM(N85:N96)</f>
        <v>0</v>
      </c>
    </row>
    <row r="98" s="2" customFormat="1" ht="15.75" customHeight="1" thickBot="1"/>
    <row r="99" spans="9:12" s="2" customFormat="1" ht="15.75" customHeight="1" thickBot="1">
      <c r="I99" s="265" t="s">
        <v>82</v>
      </c>
      <c r="J99" s="266"/>
      <c r="K99" s="267"/>
      <c r="L99" s="51">
        <f>+ROUND(N73-N82-N97,2)</f>
        <v>91462.5</v>
      </c>
    </row>
    <row r="100" spans="9:13" s="2" customFormat="1" ht="12.75" thickBot="1">
      <c r="I100" s="265" t="s">
        <v>81</v>
      </c>
      <c r="J100" s="266"/>
      <c r="K100" s="266"/>
      <c r="L100" s="266"/>
      <c r="M100" s="267"/>
    </row>
    <row r="101" spans="9:14" s="2" customFormat="1" ht="12">
      <c r="I101" s="269" t="str">
        <f>+A80</f>
        <v>OBRA SOCIAL PRIVADA</v>
      </c>
      <c r="J101" s="270"/>
      <c r="K101" s="270"/>
      <c r="L101" s="270"/>
      <c r="M101" s="271"/>
      <c r="N101" s="54">
        <f>+IF(B80&gt;B123,B123,B80)</f>
        <v>0</v>
      </c>
    </row>
    <row r="102" spans="9:14" s="2" customFormat="1" ht="12">
      <c r="I102" s="275" t="str">
        <f>+A81</f>
        <v>DONACIONES</v>
      </c>
      <c r="J102" s="276"/>
      <c r="K102" s="276"/>
      <c r="L102" s="276"/>
      <c r="M102" s="277"/>
      <c r="N102" s="42">
        <f>+IF(B81&gt;B122,B122,B81)</f>
        <v>0</v>
      </c>
    </row>
    <row r="103" spans="9:14" s="2" customFormat="1" ht="12.75" thickBot="1">
      <c r="I103" s="272" t="str">
        <f>+A82</f>
        <v>HONORARIOS MEDICOS</v>
      </c>
      <c r="J103" s="273"/>
      <c r="K103" s="273"/>
      <c r="L103" s="273"/>
      <c r="M103" s="274"/>
      <c r="N103" s="16">
        <f>+IF(E1=12,IF(B82&gt;B124,B124,B82),0)</f>
        <v>0</v>
      </c>
    </row>
    <row r="104" s="2" customFormat="1" ht="15.75" customHeight="1" thickBot="1">
      <c r="N104" s="6"/>
    </row>
    <row r="105" spans="9:14" s="2" customFormat="1" ht="12.75" thickBot="1">
      <c r="I105" s="265" t="s">
        <v>83</v>
      </c>
      <c r="J105" s="266"/>
      <c r="K105" s="266"/>
      <c r="L105" s="266"/>
      <c r="M105" s="267"/>
      <c r="N105" s="55">
        <f>+SUM(N101:N104)</f>
        <v>0</v>
      </c>
    </row>
    <row r="106" s="2" customFormat="1" ht="15.75" customHeight="1" thickBot="1">
      <c r="N106" s="6"/>
    </row>
    <row r="107" spans="9:14" s="2" customFormat="1" ht="12.75" thickBot="1">
      <c r="I107" s="265" t="s">
        <v>65</v>
      </c>
      <c r="J107" s="266"/>
      <c r="K107" s="266"/>
      <c r="L107" s="266"/>
      <c r="M107" s="267"/>
      <c r="N107" s="6"/>
    </row>
    <row r="108" spans="9:14" s="2" customFormat="1" ht="12">
      <c r="I108" s="269" t="str">
        <f>+A68</f>
        <v>Cónyuge</v>
      </c>
      <c r="J108" s="270"/>
      <c r="K108" s="270"/>
      <c r="L108" s="270"/>
      <c r="M108" s="271"/>
      <c r="N108" s="54">
        <f>+B68*B114</f>
        <v>0</v>
      </c>
    </row>
    <row r="109" spans="9:14" s="2" customFormat="1" ht="12.75" thickBot="1">
      <c r="I109" s="272" t="str">
        <f>+A69</f>
        <v>Hijos</v>
      </c>
      <c r="J109" s="273"/>
      <c r="K109" s="273"/>
      <c r="L109" s="273"/>
      <c r="M109" s="274"/>
      <c r="N109" s="16">
        <f>+B115*B69</f>
        <v>0</v>
      </c>
    </row>
    <row r="110" spans="9:14" s="2" customFormat="1" ht="15.75" customHeight="1" thickBot="1">
      <c r="I110" s="56"/>
      <c r="J110" s="56"/>
      <c r="K110" s="56"/>
      <c r="L110" s="56"/>
      <c r="M110" s="56"/>
      <c r="N110" s="6"/>
    </row>
    <row r="111" spans="9:14" s="2" customFormat="1" ht="12.75" thickBot="1">
      <c r="I111" s="265" t="s">
        <v>94</v>
      </c>
      <c r="J111" s="266"/>
      <c r="K111" s="266"/>
      <c r="L111" s="266"/>
      <c r="M111" s="267"/>
      <c r="N111" s="51">
        <f>SUM(N108:N110)</f>
        <v>0</v>
      </c>
    </row>
    <row r="112" spans="9:14" s="2" customFormat="1" ht="15.75" customHeight="1" thickBot="1">
      <c r="I112" s="56"/>
      <c r="J112" s="56"/>
      <c r="K112" s="56"/>
      <c r="L112" s="56"/>
      <c r="M112" s="56"/>
      <c r="N112" s="6"/>
    </row>
    <row r="113" spans="1:14" s="2" customFormat="1" ht="12.75" thickBot="1">
      <c r="A113" s="268" t="s">
        <v>73</v>
      </c>
      <c r="B113" s="268"/>
      <c r="I113" s="265" t="s">
        <v>66</v>
      </c>
      <c r="J113" s="266"/>
      <c r="K113" s="266"/>
      <c r="L113" s="266"/>
      <c r="M113" s="267"/>
      <c r="N113" s="6"/>
    </row>
    <row r="114" spans="1:14" s="2" customFormat="1" ht="12.75" thickBot="1">
      <c r="A114" s="57" t="s">
        <v>36</v>
      </c>
      <c r="B114" s="21">
        <f>+HLOOKUP($E$1,$B$155:$M$165,4,0)</f>
        <v>13026.7192</v>
      </c>
      <c r="I114" s="269" t="s">
        <v>35</v>
      </c>
      <c r="J114" s="270"/>
      <c r="K114" s="270"/>
      <c r="L114" s="270"/>
      <c r="M114" s="271"/>
      <c r="N114" s="54">
        <f>+HLOOKUP($E$1,$B$155:$M$165,3,0)</f>
        <v>13973.2</v>
      </c>
    </row>
    <row r="115" spans="1:14" s="2" customFormat="1" ht="12.75" thickBot="1">
      <c r="A115" s="58" t="s">
        <v>37</v>
      </c>
      <c r="B115" s="21">
        <f>+HLOOKUP($E$1,$B$155:$M$165,5,0)</f>
        <v>6569.4233</v>
      </c>
      <c r="I115" s="272" t="s">
        <v>67</v>
      </c>
      <c r="J115" s="273"/>
      <c r="K115" s="273"/>
      <c r="L115" s="273"/>
      <c r="M115" s="274"/>
      <c r="N115" s="16">
        <f>+HLOOKUP($E$1,$B$155:$M$165,6,0)</f>
        <v>67071.36</v>
      </c>
    </row>
    <row r="116" spans="1:13" s="2" customFormat="1" ht="15.75" customHeight="1" thickBot="1">
      <c r="A116" s="58" t="s">
        <v>74</v>
      </c>
      <c r="B116" s="21">
        <f>+HLOOKUP($E$1,$B$155:$M$165,8,0)</f>
        <v>0</v>
      </c>
      <c r="I116" s="56"/>
      <c r="J116" s="56"/>
      <c r="K116" s="56"/>
      <c r="L116" s="56"/>
      <c r="M116" s="56"/>
    </row>
    <row r="117" spans="1:14" s="2" customFormat="1" ht="12.75" thickBot="1">
      <c r="A117" s="58" t="s">
        <v>130</v>
      </c>
      <c r="B117" s="21">
        <f>+HLOOKUP($E$1,$B$155:$M$165,8,0)</f>
        <v>0</v>
      </c>
      <c r="I117" s="265" t="s">
        <v>84</v>
      </c>
      <c r="J117" s="266"/>
      <c r="K117" s="266"/>
      <c r="L117" s="266"/>
      <c r="M117" s="267"/>
      <c r="N117" s="55">
        <f>+SUM(N114:N115)</f>
        <v>81044.56</v>
      </c>
    </row>
    <row r="118" spans="1:14" s="2" customFormat="1" ht="12.75" thickBot="1">
      <c r="A118" s="58" t="s">
        <v>75</v>
      </c>
      <c r="B118" s="21">
        <f>+HLOOKUP($E$1,$B$155:$M$165,9,0)</f>
        <v>83.0192</v>
      </c>
      <c r="I118" s="56"/>
      <c r="J118" s="56"/>
      <c r="K118" s="56"/>
      <c r="L118" s="56"/>
      <c r="M118" s="56"/>
      <c r="N118" s="6"/>
    </row>
    <row r="119" spans="1:14" s="2" customFormat="1" ht="12.75" thickBot="1">
      <c r="A119" s="58" t="s">
        <v>76</v>
      </c>
      <c r="B119" s="21">
        <f>+HLOOKUP($E$1,$B$155:$M$165,10,0)</f>
        <v>1666.6667</v>
      </c>
      <c r="I119" s="257" t="s">
        <v>69</v>
      </c>
      <c r="J119" s="258"/>
      <c r="K119" s="258"/>
      <c r="L119" s="37"/>
      <c r="M119" s="37"/>
      <c r="N119" s="51">
        <f>+N73-N82-N97-N105-N111-N117</f>
        <v>10417.943334143318</v>
      </c>
    </row>
    <row r="120" spans="1:15" s="2" customFormat="1" ht="12.75" thickBot="1">
      <c r="A120" s="58" t="s">
        <v>77</v>
      </c>
      <c r="B120" s="21">
        <f>+HLOOKUP($E$1,$B$155:$M$165,7,0)</f>
        <v>13973.2</v>
      </c>
      <c r="I120" s="257" t="s">
        <v>110</v>
      </c>
      <c r="J120" s="258"/>
      <c r="K120" s="258"/>
      <c r="L120" s="37"/>
      <c r="M120" s="37"/>
      <c r="N120" s="51">
        <f>+N73-N82-N97-N105-N111-N117-N148</f>
        <v>7177.943333333318</v>
      </c>
      <c r="O120" s="6"/>
    </row>
    <row r="121" spans="1:14" s="2" customFormat="1" ht="12.75" thickBot="1">
      <c r="A121" s="58" t="s">
        <v>43</v>
      </c>
      <c r="B121" s="21">
        <f>+B120</f>
        <v>13973.2</v>
      </c>
      <c r="I121" s="257" t="s">
        <v>86</v>
      </c>
      <c r="J121" s="258"/>
      <c r="K121" s="258"/>
      <c r="L121" s="60"/>
      <c r="M121" s="60"/>
      <c r="N121" s="61">
        <f>IF(AND(N120&lt;0,N119&gt;0),N119*0.05,IF(N119&gt;0,ROUND(LOOKUP(N120,B55:D63)+((N119-LOOKUP(N120,B55:F63))*LOOKUP(N120,B55:E63)/100),2),0))</f>
        <v>722.51</v>
      </c>
    </row>
    <row r="122" spans="1:14" s="2" customFormat="1" ht="12.75" thickBot="1">
      <c r="A122" s="59" t="s">
        <v>79</v>
      </c>
      <c r="B122" s="21">
        <f>+L99*5%</f>
        <v>4573.125</v>
      </c>
      <c r="N122" s="6"/>
    </row>
    <row r="123" spans="1:16" s="2" customFormat="1" ht="27" thickBot="1">
      <c r="A123" s="58" t="s">
        <v>78</v>
      </c>
      <c r="B123" s="21">
        <f>+B122</f>
        <v>4573.125</v>
      </c>
      <c r="I123" s="120" t="s">
        <v>71</v>
      </c>
      <c r="J123" s="121"/>
      <c r="K123" s="121"/>
      <c r="L123" s="122"/>
      <c r="M123" s="122"/>
      <c r="N123" s="123">
        <f>+O35</f>
        <v>0</v>
      </c>
      <c r="P123" s="6"/>
    </row>
    <row r="124" spans="1:16" s="2" customFormat="1" ht="27" thickBot="1">
      <c r="A124" s="62" t="s">
        <v>80</v>
      </c>
      <c r="B124" s="21">
        <f>+B123</f>
        <v>4573.125</v>
      </c>
      <c r="I124" s="124" t="s">
        <v>85</v>
      </c>
      <c r="J124" s="125"/>
      <c r="K124" s="125"/>
      <c r="L124" s="126"/>
      <c r="M124" s="126"/>
      <c r="N124" s="127">
        <f>IF(E1=12,+B125,0)</f>
        <v>0</v>
      </c>
      <c r="P124" s="6"/>
    </row>
    <row r="125" spans="1:15" ht="27" thickBot="1">
      <c r="A125" s="15" t="s">
        <v>85</v>
      </c>
      <c r="B125" s="21">
        <f>+IF(B83&gt;N121,N121,B83)</f>
        <v>0</v>
      </c>
      <c r="I125" s="124" t="s">
        <v>70</v>
      </c>
      <c r="J125" s="125"/>
      <c r="K125" s="125"/>
      <c r="L125" s="128"/>
      <c r="M125" s="128"/>
      <c r="N125" s="129">
        <f>+N121-N123-N124</f>
        <v>722.51</v>
      </c>
      <c r="O125" s="2">
        <v>722.51</v>
      </c>
    </row>
    <row r="126" s="2" customFormat="1" ht="12.75" thickBot="1"/>
    <row r="127" spans="1:13" s="2" customFormat="1" ht="12">
      <c r="A127" s="7" t="str">
        <f>+A4</f>
        <v>Tabla</v>
      </c>
      <c r="B127" s="7">
        <f aca="true" t="shared" si="28" ref="B127:M127">+B4</f>
        <v>1</v>
      </c>
      <c r="C127" s="7">
        <f t="shared" si="28"/>
        <v>2</v>
      </c>
      <c r="D127" s="7">
        <f t="shared" si="28"/>
        <v>3</v>
      </c>
      <c r="E127" s="7">
        <f t="shared" si="28"/>
        <v>4</v>
      </c>
      <c r="F127" s="7">
        <f t="shared" si="28"/>
        <v>5</v>
      </c>
      <c r="G127" s="7">
        <f t="shared" si="28"/>
        <v>6</v>
      </c>
      <c r="H127" s="7">
        <f t="shared" si="28"/>
        <v>7</v>
      </c>
      <c r="I127" s="7">
        <f t="shared" si="28"/>
        <v>8</v>
      </c>
      <c r="J127" s="7">
        <f t="shared" si="28"/>
        <v>9</v>
      </c>
      <c r="K127" s="7">
        <f t="shared" si="28"/>
        <v>10</v>
      </c>
      <c r="L127" s="7">
        <f t="shared" si="28"/>
        <v>11</v>
      </c>
      <c r="M127" s="7">
        <f t="shared" si="28"/>
        <v>12</v>
      </c>
    </row>
    <row r="128" spans="1:14" s="2" customFormat="1" ht="12">
      <c r="A128" s="11" t="s">
        <v>112</v>
      </c>
      <c r="B128" s="12">
        <f>+B8*0.5</f>
        <v>2000</v>
      </c>
      <c r="C128" s="12">
        <f>+C8*0.5</f>
        <v>0</v>
      </c>
      <c r="D128" s="12">
        <f>+D8*0.5</f>
        <v>0</v>
      </c>
      <c r="E128" s="12">
        <f>+E8*0.5</f>
        <v>0</v>
      </c>
      <c r="F128" s="12">
        <f aca="true" t="shared" si="29" ref="F128:M128">+F8*0.5</f>
        <v>0</v>
      </c>
      <c r="G128" s="12">
        <f t="shared" si="29"/>
        <v>0</v>
      </c>
      <c r="H128" s="12">
        <f t="shared" si="29"/>
        <v>0</v>
      </c>
      <c r="I128" s="12">
        <f t="shared" si="29"/>
        <v>0</v>
      </c>
      <c r="J128" s="12">
        <f t="shared" si="29"/>
        <v>0</v>
      </c>
      <c r="K128" s="12">
        <f t="shared" si="29"/>
        <v>0</v>
      </c>
      <c r="L128" s="12">
        <f t="shared" si="29"/>
        <v>0</v>
      </c>
      <c r="M128" s="12">
        <f t="shared" si="29"/>
        <v>0</v>
      </c>
      <c r="N128" s="13">
        <f>+SUM(B128:M128)</f>
        <v>2000</v>
      </c>
    </row>
    <row r="129" spans="1:14" s="2" customFormat="1" ht="12">
      <c r="A129" s="11" t="s">
        <v>111</v>
      </c>
      <c r="B129" s="12">
        <f>B9-(+B9*0.666666667)</f>
        <v>999.9999990000001</v>
      </c>
      <c r="C129" s="12">
        <f aca="true" t="shared" si="30" ref="C129:M129">+C9*0.666666667</f>
        <v>0</v>
      </c>
      <c r="D129" s="12">
        <f t="shared" si="30"/>
        <v>0</v>
      </c>
      <c r="E129" s="12">
        <f t="shared" si="30"/>
        <v>0</v>
      </c>
      <c r="F129" s="12">
        <f t="shared" si="30"/>
        <v>0</v>
      </c>
      <c r="G129" s="12">
        <f t="shared" si="30"/>
        <v>0</v>
      </c>
      <c r="H129" s="12">
        <f t="shared" si="30"/>
        <v>0</v>
      </c>
      <c r="I129" s="12">
        <f t="shared" si="30"/>
        <v>0</v>
      </c>
      <c r="J129" s="12">
        <f t="shared" si="30"/>
        <v>0</v>
      </c>
      <c r="K129" s="12">
        <f t="shared" si="30"/>
        <v>0</v>
      </c>
      <c r="L129" s="12">
        <f t="shared" si="30"/>
        <v>0</v>
      </c>
      <c r="M129" s="12">
        <f t="shared" si="30"/>
        <v>0</v>
      </c>
      <c r="N129" s="13">
        <f>+SUM(B129:M129)</f>
        <v>999.9999990000001</v>
      </c>
    </row>
    <row r="130" spans="1:14" s="2" customFormat="1" ht="12">
      <c r="A130" s="57" t="s">
        <v>115</v>
      </c>
      <c r="B130" s="39">
        <f>+B128+B129</f>
        <v>2999.999999</v>
      </c>
      <c r="C130" s="39">
        <f aca="true" t="shared" si="31" ref="C130:M130">+C128+C129</f>
        <v>0</v>
      </c>
      <c r="D130" s="39">
        <f t="shared" si="31"/>
        <v>0</v>
      </c>
      <c r="E130" s="39">
        <f t="shared" si="31"/>
        <v>0</v>
      </c>
      <c r="F130" s="39">
        <f t="shared" si="31"/>
        <v>0</v>
      </c>
      <c r="G130" s="39">
        <f t="shared" si="31"/>
        <v>0</v>
      </c>
      <c r="H130" s="39">
        <f t="shared" si="31"/>
        <v>0</v>
      </c>
      <c r="I130" s="39">
        <f t="shared" si="31"/>
        <v>0</v>
      </c>
      <c r="J130" s="39">
        <f t="shared" si="31"/>
        <v>0</v>
      </c>
      <c r="K130" s="39">
        <f t="shared" si="31"/>
        <v>0</v>
      </c>
      <c r="L130" s="39">
        <f t="shared" si="31"/>
        <v>0</v>
      </c>
      <c r="M130" s="39">
        <f t="shared" si="31"/>
        <v>0</v>
      </c>
      <c r="N130" s="39"/>
    </row>
    <row r="131" s="2" customFormat="1" ht="12.75" thickBot="1"/>
    <row r="132" spans="1:14" s="2" customFormat="1" ht="12">
      <c r="A132" s="8" t="s">
        <v>15</v>
      </c>
      <c r="B132" s="9">
        <f>+B130*0.11</f>
        <v>329.99999989</v>
      </c>
      <c r="C132" s="9">
        <f>+C130*0.11</f>
        <v>0</v>
      </c>
      <c r="D132" s="9">
        <f>+D130*0.11</f>
        <v>0</v>
      </c>
      <c r="E132" s="9">
        <f>+E130*0.11</f>
        <v>0</v>
      </c>
      <c r="F132" s="9">
        <f aca="true" t="shared" si="32" ref="F132:M132">+F130*0.11</f>
        <v>0</v>
      </c>
      <c r="G132" s="9">
        <f t="shared" si="32"/>
        <v>0</v>
      </c>
      <c r="H132" s="9">
        <f t="shared" si="32"/>
        <v>0</v>
      </c>
      <c r="I132" s="9">
        <f t="shared" si="32"/>
        <v>0</v>
      </c>
      <c r="J132" s="9">
        <f t="shared" si="32"/>
        <v>0</v>
      </c>
      <c r="K132" s="9">
        <f t="shared" si="32"/>
        <v>0</v>
      </c>
      <c r="L132" s="9">
        <f t="shared" si="32"/>
        <v>0</v>
      </c>
      <c r="M132" s="9">
        <f t="shared" si="32"/>
        <v>0</v>
      </c>
      <c r="N132" s="10">
        <f>+SUM(B132:M132)</f>
        <v>329.99999989</v>
      </c>
    </row>
    <row r="133" spans="1:16" s="2" customFormat="1" ht="12">
      <c r="A133" s="11" t="s">
        <v>19</v>
      </c>
      <c r="B133" s="12">
        <f>+B132/11*3</f>
        <v>89.99999997</v>
      </c>
      <c r="C133" s="12">
        <f>+C132/11*3</f>
        <v>0</v>
      </c>
      <c r="D133" s="12">
        <f>+D132/11*3</f>
        <v>0</v>
      </c>
      <c r="E133" s="12">
        <f>+E132/11*3</f>
        <v>0</v>
      </c>
      <c r="F133" s="12">
        <f aca="true" t="shared" si="33" ref="F133:M133">+F132/11*3</f>
        <v>0</v>
      </c>
      <c r="G133" s="12">
        <f t="shared" si="33"/>
        <v>0</v>
      </c>
      <c r="H133" s="12">
        <f t="shared" si="33"/>
        <v>0</v>
      </c>
      <c r="I133" s="12">
        <f t="shared" si="33"/>
        <v>0</v>
      </c>
      <c r="J133" s="12">
        <f t="shared" si="33"/>
        <v>0</v>
      </c>
      <c r="K133" s="12">
        <f t="shared" si="33"/>
        <v>0</v>
      </c>
      <c r="L133" s="12">
        <f t="shared" si="33"/>
        <v>0</v>
      </c>
      <c r="M133" s="12">
        <f t="shared" si="33"/>
        <v>0</v>
      </c>
      <c r="N133" s="13">
        <f>+SUM(B133:M133)</f>
        <v>89.99999997</v>
      </c>
      <c r="P133" s="6"/>
    </row>
    <row r="134" spans="1:14" s="2" customFormat="1" ht="12">
      <c r="A134" s="11" t="s">
        <v>20</v>
      </c>
      <c r="B134" s="12">
        <f>+B133</f>
        <v>89.99999997</v>
      </c>
      <c r="C134" s="12">
        <f>+C133</f>
        <v>0</v>
      </c>
      <c r="D134" s="12">
        <f>+D133</f>
        <v>0</v>
      </c>
      <c r="E134" s="12">
        <f>+E133</f>
        <v>0</v>
      </c>
      <c r="F134" s="12">
        <f aca="true" t="shared" si="34" ref="F134:M134">+F133</f>
        <v>0</v>
      </c>
      <c r="G134" s="12">
        <f t="shared" si="34"/>
        <v>0</v>
      </c>
      <c r="H134" s="12">
        <f t="shared" si="34"/>
        <v>0</v>
      </c>
      <c r="I134" s="12">
        <f t="shared" si="34"/>
        <v>0</v>
      </c>
      <c r="J134" s="12">
        <f t="shared" si="34"/>
        <v>0</v>
      </c>
      <c r="K134" s="12">
        <f t="shared" si="34"/>
        <v>0</v>
      </c>
      <c r="L134" s="12">
        <f t="shared" si="34"/>
        <v>0</v>
      </c>
      <c r="M134" s="12">
        <f t="shared" si="34"/>
        <v>0</v>
      </c>
      <c r="N134" s="13">
        <f>+SUM(B134:M134)</f>
        <v>89.99999997</v>
      </c>
    </row>
    <row r="135" spans="1:14" s="2" customFormat="1" ht="12">
      <c r="A135" s="11" t="s">
        <v>22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3">
        <f>+SUM(B135:M135)</f>
        <v>0</v>
      </c>
    </row>
    <row r="136" spans="1:14" s="2" customFormat="1" ht="12">
      <c r="A136" s="11" t="s">
        <v>21</v>
      </c>
      <c r="B136" s="12">
        <f>+B134/3*2</f>
        <v>59.999999980000005</v>
      </c>
      <c r="C136" s="12">
        <f aca="true" t="shared" si="35" ref="C136:M136">+C134/3*1</f>
        <v>0</v>
      </c>
      <c r="D136" s="12">
        <f t="shared" si="35"/>
        <v>0</v>
      </c>
      <c r="E136" s="12">
        <f t="shared" si="35"/>
        <v>0</v>
      </c>
      <c r="F136" s="12">
        <f t="shared" si="35"/>
        <v>0</v>
      </c>
      <c r="G136" s="12">
        <f t="shared" si="35"/>
        <v>0</v>
      </c>
      <c r="H136" s="12">
        <f t="shared" si="35"/>
        <v>0</v>
      </c>
      <c r="I136" s="12">
        <f t="shared" si="35"/>
        <v>0</v>
      </c>
      <c r="J136" s="12">
        <f t="shared" si="35"/>
        <v>0</v>
      </c>
      <c r="K136" s="12">
        <f t="shared" si="35"/>
        <v>0</v>
      </c>
      <c r="L136" s="12">
        <f t="shared" si="35"/>
        <v>0</v>
      </c>
      <c r="M136" s="12">
        <f t="shared" si="35"/>
        <v>0</v>
      </c>
      <c r="N136" s="13">
        <f>+SUM(B136:M136)</f>
        <v>59.999999980000005</v>
      </c>
    </row>
    <row r="137" spans="14:17" s="2" customFormat="1" ht="12">
      <c r="N137" s="6">
        <f>SUM(N132:N136)</f>
        <v>569.99999981</v>
      </c>
      <c r="Q137" s="6"/>
    </row>
    <row r="139" spans="1:14" s="2" customFormat="1" ht="12">
      <c r="A139" s="11" t="str">
        <f>+A8</f>
        <v>HORAS EXTRAS 100% EXCENTAS</v>
      </c>
      <c r="B139" s="12">
        <f>+B8*0.5</f>
        <v>2000</v>
      </c>
      <c r="C139" s="12">
        <f>+C8*0.5</f>
        <v>0</v>
      </c>
      <c r="D139" s="12">
        <f>+D8*0.5</f>
        <v>0</v>
      </c>
      <c r="E139" s="12">
        <f>+E8*0.5</f>
        <v>0</v>
      </c>
      <c r="F139" s="12">
        <f aca="true" t="shared" si="36" ref="F139:M139">+F8*0.5</f>
        <v>0</v>
      </c>
      <c r="G139" s="12">
        <f t="shared" si="36"/>
        <v>0</v>
      </c>
      <c r="H139" s="12">
        <f t="shared" si="36"/>
        <v>0</v>
      </c>
      <c r="I139" s="12">
        <f t="shared" si="36"/>
        <v>0</v>
      </c>
      <c r="J139" s="12">
        <f t="shared" si="36"/>
        <v>0</v>
      </c>
      <c r="K139" s="12">
        <f t="shared" si="36"/>
        <v>0</v>
      </c>
      <c r="L139" s="12">
        <f t="shared" si="36"/>
        <v>0</v>
      </c>
      <c r="M139" s="12">
        <f t="shared" si="36"/>
        <v>0</v>
      </c>
      <c r="N139" s="13">
        <f>+SUM(B139:M139)</f>
        <v>2000</v>
      </c>
    </row>
    <row r="140" spans="1:14" s="2" customFormat="1" ht="12">
      <c r="A140" s="11" t="str">
        <f>+A9</f>
        <v>HORAS EXTRAS 50% EXCENTAS</v>
      </c>
      <c r="B140" s="12">
        <f>+B9*0.666666667</f>
        <v>2000.0000009999999</v>
      </c>
      <c r="C140" s="12">
        <f aca="true" t="shared" si="37" ref="C140:M140">+C9*0.666666667</f>
        <v>0</v>
      </c>
      <c r="D140" s="12">
        <f t="shared" si="37"/>
        <v>0</v>
      </c>
      <c r="E140" s="12">
        <f t="shared" si="37"/>
        <v>0</v>
      </c>
      <c r="F140" s="12">
        <f t="shared" si="37"/>
        <v>0</v>
      </c>
      <c r="G140" s="12">
        <f t="shared" si="37"/>
        <v>0</v>
      </c>
      <c r="H140" s="12">
        <f t="shared" si="37"/>
        <v>0</v>
      </c>
      <c r="I140" s="12">
        <f t="shared" si="37"/>
        <v>0</v>
      </c>
      <c r="J140" s="12">
        <f t="shared" si="37"/>
        <v>0</v>
      </c>
      <c r="K140" s="12">
        <f t="shared" si="37"/>
        <v>0</v>
      </c>
      <c r="L140" s="12">
        <f t="shared" si="37"/>
        <v>0</v>
      </c>
      <c r="M140" s="12">
        <f t="shared" si="37"/>
        <v>0</v>
      </c>
      <c r="N140" s="13">
        <f>+SUM(B140:M140)</f>
        <v>2000.0000009999999</v>
      </c>
    </row>
    <row r="141" spans="1:14" s="2" customFormat="1" ht="12">
      <c r="A141" s="11" t="str">
        <f>+A10</f>
        <v>HORAS EXTRAS 50%</v>
      </c>
      <c r="B141" s="12">
        <f aca="true" t="shared" si="38" ref="B141:M141">+B10</f>
        <v>0</v>
      </c>
      <c r="C141" s="12">
        <f t="shared" si="38"/>
        <v>0</v>
      </c>
      <c r="D141" s="12">
        <f t="shared" si="38"/>
        <v>0</v>
      </c>
      <c r="E141" s="12">
        <f t="shared" si="38"/>
        <v>0</v>
      </c>
      <c r="F141" s="12">
        <f t="shared" si="38"/>
        <v>0</v>
      </c>
      <c r="G141" s="12">
        <f t="shared" si="38"/>
        <v>0</v>
      </c>
      <c r="H141" s="12">
        <f t="shared" si="38"/>
        <v>0</v>
      </c>
      <c r="I141" s="12">
        <f t="shared" si="38"/>
        <v>0</v>
      </c>
      <c r="J141" s="12">
        <f t="shared" si="38"/>
        <v>0</v>
      </c>
      <c r="K141" s="12">
        <f t="shared" si="38"/>
        <v>0</v>
      </c>
      <c r="L141" s="12">
        <f t="shared" si="38"/>
        <v>0</v>
      </c>
      <c r="M141" s="12">
        <f t="shared" si="38"/>
        <v>0</v>
      </c>
      <c r="N141" s="13">
        <f>+SUM(B141:M141)</f>
        <v>0</v>
      </c>
    </row>
    <row r="142" spans="1:14" s="2" customFormat="1" ht="12.75" thickBot="1">
      <c r="A142" s="57" t="s">
        <v>115</v>
      </c>
      <c r="B142" s="39">
        <f>+SUM(B139:B141)</f>
        <v>4000.000001</v>
      </c>
      <c r="C142" s="39">
        <f aca="true" t="shared" si="39" ref="C142:M142">+SUM(C139:C141)</f>
        <v>0</v>
      </c>
      <c r="D142" s="39">
        <f t="shared" si="39"/>
        <v>0</v>
      </c>
      <c r="E142" s="39">
        <f t="shared" si="39"/>
        <v>0</v>
      </c>
      <c r="F142" s="39">
        <f t="shared" si="39"/>
        <v>0</v>
      </c>
      <c r="G142" s="39">
        <f t="shared" si="39"/>
        <v>0</v>
      </c>
      <c r="H142" s="39">
        <f t="shared" si="39"/>
        <v>0</v>
      </c>
      <c r="I142" s="39">
        <f t="shared" si="39"/>
        <v>0</v>
      </c>
      <c r="J142" s="39">
        <f t="shared" si="39"/>
        <v>0</v>
      </c>
      <c r="K142" s="39">
        <f t="shared" si="39"/>
        <v>0</v>
      </c>
      <c r="L142" s="39">
        <f t="shared" si="39"/>
        <v>0</v>
      </c>
      <c r="M142" s="39">
        <f t="shared" si="39"/>
        <v>0</v>
      </c>
      <c r="N142" s="39">
        <f>+SUM(N139:N141)</f>
        <v>4000.000001</v>
      </c>
    </row>
    <row r="143" spans="1:14" s="2" customFormat="1" ht="12">
      <c r="A143" s="8" t="s">
        <v>15</v>
      </c>
      <c r="B143" s="9">
        <f>+B142*0.11</f>
        <v>440.00000011</v>
      </c>
      <c r="C143" s="9">
        <f>+C142*0.11</f>
        <v>0</v>
      </c>
      <c r="D143" s="9">
        <f>+D142*0.11</f>
        <v>0</v>
      </c>
      <c r="E143" s="9">
        <f>+E142*0.11</f>
        <v>0</v>
      </c>
      <c r="F143" s="9">
        <f aca="true" t="shared" si="40" ref="F143:M143">+F142*0.11</f>
        <v>0</v>
      </c>
      <c r="G143" s="9">
        <f t="shared" si="40"/>
        <v>0</v>
      </c>
      <c r="H143" s="9">
        <f t="shared" si="40"/>
        <v>0</v>
      </c>
      <c r="I143" s="9">
        <f t="shared" si="40"/>
        <v>0</v>
      </c>
      <c r="J143" s="9">
        <f t="shared" si="40"/>
        <v>0</v>
      </c>
      <c r="K143" s="9">
        <f t="shared" si="40"/>
        <v>0</v>
      </c>
      <c r="L143" s="9">
        <f t="shared" si="40"/>
        <v>0</v>
      </c>
      <c r="M143" s="9">
        <f t="shared" si="40"/>
        <v>0</v>
      </c>
      <c r="N143" s="10">
        <f>+SUM(B143:M143)</f>
        <v>440.00000011</v>
      </c>
    </row>
    <row r="144" spans="1:14" s="2" customFormat="1" ht="12">
      <c r="A144" s="11" t="s">
        <v>19</v>
      </c>
      <c r="B144" s="12">
        <f>+B143/11*3</f>
        <v>120.00000003</v>
      </c>
      <c r="C144" s="12">
        <f>+C143/11*3</f>
        <v>0</v>
      </c>
      <c r="D144" s="12">
        <f>+D143/11*3</f>
        <v>0</v>
      </c>
      <c r="E144" s="12">
        <f>+E143/11*3</f>
        <v>0</v>
      </c>
      <c r="F144" s="12">
        <f aca="true" t="shared" si="41" ref="F144:M144">+F143/11*3</f>
        <v>0</v>
      </c>
      <c r="G144" s="12">
        <f t="shared" si="41"/>
        <v>0</v>
      </c>
      <c r="H144" s="12">
        <f t="shared" si="41"/>
        <v>0</v>
      </c>
      <c r="I144" s="12">
        <f t="shared" si="41"/>
        <v>0</v>
      </c>
      <c r="J144" s="12">
        <f t="shared" si="41"/>
        <v>0</v>
      </c>
      <c r="K144" s="12">
        <f t="shared" si="41"/>
        <v>0</v>
      </c>
      <c r="L144" s="12">
        <f t="shared" si="41"/>
        <v>0</v>
      </c>
      <c r="M144" s="12">
        <f t="shared" si="41"/>
        <v>0</v>
      </c>
      <c r="N144" s="13">
        <f>+SUM(B144:M144)</f>
        <v>120.00000003</v>
      </c>
    </row>
    <row r="145" spans="1:14" s="2" customFormat="1" ht="12">
      <c r="A145" s="11" t="s">
        <v>20</v>
      </c>
      <c r="B145" s="12">
        <f>+B144</f>
        <v>120.00000003</v>
      </c>
      <c r="C145" s="12">
        <f>+C144</f>
        <v>0</v>
      </c>
      <c r="D145" s="12">
        <f>+D144</f>
        <v>0</v>
      </c>
      <c r="E145" s="12">
        <f>+E144</f>
        <v>0</v>
      </c>
      <c r="F145" s="12">
        <f aca="true" t="shared" si="42" ref="F145:M145">+F144</f>
        <v>0</v>
      </c>
      <c r="G145" s="12">
        <f t="shared" si="42"/>
        <v>0</v>
      </c>
      <c r="H145" s="12">
        <f t="shared" si="42"/>
        <v>0</v>
      </c>
      <c r="I145" s="12">
        <f t="shared" si="42"/>
        <v>0</v>
      </c>
      <c r="J145" s="12">
        <f t="shared" si="42"/>
        <v>0</v>
      </c>
      <c r="K145" s="12">
        <f t="shared" si="42"/>
        <v>0</v>
      </c>
      <c r="L145" s="12">
        <f t="shared" si="42"/>
        <v>0</v>
      </c>
      <c r="M145" s="12">
        <f t="shared" si="42"/>
        <v>0</v>
      </c>
      <c r="N145" s="13">
        <f>+SUM(B145:M145)</f>
        <v>120.00000003</v>
      </c>
    </row>
    <row r="146" spans="1:14" s="2" customFormat="1" ht="12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3">
        <f>+SUM(B146:M146)</f>
        <v>0</v>
      </c>
    </row>
    <row r="147" spans="1:14" s="2" customFormat="1" ht="12">
      <c r="A147" s="11" t="s">
        <v>21</v>
      </c>
      <c r="B147" s="12">
        <f>+B145/3*2</f>
        <v>80.00000002</v>
      </c>
      <c r="C147" s="12">
        <f aca="true" t="shared" si="43" ref="C147:M147">+C145/3*1</f>
        <v>0</v>
      </c>
      <c r="D147" s="12">
        <f t="shared" si="43"/>
        <v>0</v>
      </c>
      <c r="E147" s="12">
        <f t="shared" si="43"/>
        <v>0</v>
      </c>
      <c r="F147" s="12">
        <f t="shared" si="43"/>
        <v>0</v>
      </c>
      <c r="G147" s="12">
        <f t="shared" si="43"/>
        <v>0</v>
      </c>
      <c r="H147" s="12">
        <f t="shared" si="43"/>
        <v>0</v>
      </c>
      <c r="I147" s="12">
        <f t="shared" si="43"/>
        <v>0</v>
      </c>
      <c r="J147" s="12">
        <f t="shared" si="43"/>
        <v>0</v>
      </c>
      <c r="K147" s="12">
        <f t="shared" si="43"/>
        <v>0</v>
      </c>
      <c r="L147" s="12">
        <f t="shared" si="43"/>
        <v>0</v>
      </c>
      <c r="M147" s="12">
        <f t="shared" si="43"/>
        <v>0</v>
      </c>
      <c r="N147" s="13">
        <f>+SUM(B147:M147)</f>
        <v>80.00000002</v>
      </c>
    </row>
    <row r="148" spans="1:14" s="2" customFormat="1" ht="12">
      <c r="A148" s="2" t="s">
        <v>114</v>
      </c>
      <c r="B148" s="6">
        <f>+B142-B143-B144-B145-B146-B147</f>
        <v>3240.0000008099996</v>
      </c>
      <c r="C148" s="6">
        <f>+C142-C143-C144-C145-C146-C147</f>
        <v>0</v>
      </c>
      <c r="D148" s="6">
        <f>+D142-D143-D144-D145-D146-D147</f>
        <v>0</v>
      </c>
      <c r="E148" s="6">
        <f aca="true" t="shared" si="44" ref="E148:M148">+E142-E143-E144-E145-E146-E147</f>
        <v>0</v>
      </c>
      <c r="F148" s="6">
        <f t="shared" si="44"/>
        <v>0</v>
      </c>
      <c r="G148" s="6">
        <f t="shared" si="44"/>
        <v>0</v>
      </c>
      <c r="H148" s="6">
        <f t="shared" si="44"/>
        <v>0</v>
      </c>
      <c r="I148" s="6">
        <f t="shared" si="44"/>
        <v>0</v>
      </c>
      <c r="J148" s="6">
        <f t="shared" si="44"/>
        <v>0</v>
      </c>
      <c r="K148" s="6">
        <f t="shared" si="44"/>
        <v>0</v>
      </c>
      <c r="L148" s="6">
        <f t="shared" si="44"/>
        <v>0</v>
      </c>
      <c r="M148" s="6">
        <f t="shared" si="44"/>
        <v>0</v>
      </c>
      <c r="N148" s="6">
        <f>+N142-N143-N144-N145-N146-N147</f>
        <v>3240.0000008099996</v>
      </c>
    </row>
    <row r="149" ht="12">
      <c r="D149" s="6"/>
    </row>
    <row r="150" ht="12">
      <c r="N150" s="6"/>
    </row>
    <row r="151" ht="12.75" thickBot="1">
      <c r="E151" s="56" t="s">
        <v>97</v>
      </c>
    </row>
    <row r="152" spans="1:17" ht="12.75" thickBot="1">
      <c r="A152" s="69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1"/>
    </row>
    <row r="153" spans="1:17" ht="12.75" thickBot="1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P153" s="72"/>
      <c r="Q153" s="72"/>
    </row>
    <row r="154" spans="1:17" ht="12.75" thickBot="1">
      <c r="A154" s="259" t="s">
        <v>155</v>
      </c>
      <c r="B154" s="260"/>
      <c r="C154" s="260"/>
      <c r="D154" s="260"/>
      <c r="E154" s="260"/>
      <c r="F154" s="260"/>
      <c r="G154" s="260"/>
      <c r="H154" s="260"/>
      <c r="I154" s="260"/>
      <c r="J154" s="260"/>
      <c r="K154" s="260"/>
      <c r="L154" s="260"/>
      <c r="M154" s="261"/>
      <c r="N154" s="72"/>
      <c r="P154" s="72"/>
      <c r="Q154" s="72"/>
    </row>
    <row r="155" spans="1:17" ht="12.75" thickBot="1">
      <c r="A155" s="73"/>
      <c r="B155" s="73">
        <v>1</v>
      </c>
      <c r="C155" s="73">
        <v>2</v>
      </c>
      <c r="D155" s="73">
        <v>3</v>
      </c>
      <c r="E155" s="73">
        <v>4</v>
      </c>
      <c r="F155" s="73">
        <v>5</v>
      </c>
      <c r="G155" s="73">
        <v>6</v>
      </c>
      <c r="H155" s="73">
        <v>7</v>
      </c>
      <c r="I155" s="73">
        <v>8</v>
      </c>
      <c r="J155" s="73">
        <v>9</v>
      </c>
      <c r="K155" s="73">
        <v>10</v>
      </c>
      <c r="L155" s="73">
        <v>11</v>
      </c>
      <c r="M155" s="73">
        <v>12</v>
      </c>
      <c r="N155" s="72"/>
      <c r="P155" s="72"/>
      <c r="Q155" s="72"/>
    </row>
    <row r="156" spans="1:17" ht="12">
      <c r="A156" s="74" t="s">
        <v>96</v>
      </c>
      <c r="B156" s="75">
        <v>44197</v>
      </c>
      <c r="C156" s="75">
        <v>44228</v>
      </c>
      <c r="D156" s="75">
        <v>44256</v>
      </c>
      <c r="E156" s="75">
        <v>44287</v>
      </c>
      <c r="F156" s="75">
        <v>44317</v>
      </c>
      <c r="G156" s="75">
        <v>44348</v>
      </c>
      <c r="H156" s="75">
        <v>44378</v>
      </c>
      <c r="I156" s="75">
        <v>44409</v>
      </c>
      <c r="J156" s="75">
        <v>44440</v>
      </c>
      <c r="K156" s="75">
        <v>44470</v>
      </c>
      <c r="L156" s="75">
        <v>44501</v>
      </c>
      <c r="M156" s="75">
        <v>44531</v>
      </c>
      <c r="N156" s="72"/>
      <c r="P156" s="72"/>
      <c r="Q156" s="72"/>
    </row>
    <row r="157" spans="1:17" ht="15">
      <c r="A157" s="76" t="s">
        <v>35</v>
      </c>
      <c r="B157" s="95">
        <f aca="true" t="shared" si="45" ref="B157:L161">+ROUND($M157/12,4)*B$155</f>
        <v>13973.2</v>
      </c>
      <c r="C157" s="95">
        <f t="shared" si="45"/>
        <v>27946.4</v>
      </c>
      <c r="D157" s="95">
        <f t="shared" si="45"/>
        <v>41919.600000000006</v>
      </c>
      <c r="E157" s="95">
        <f t="shared" si="45"/>
        <v>55892.8</v>
      </c>
      <c r="F157" s="95">
        <f t="shared" si="45"/>
        <v>69866</v>
      </c>
      <c r="G157" s="95">
        <f t="shared" si="45"/>
        <v>83839.20000000001</v>
      </c>
      <c r="H157" s="95">
        <f t="shared" si="45"/>
        <v>97812.40000000001</v>
      </c>
      <c r="I157" s="95">
        <f t="shared" si="45"/>
        <v>111785.6</v>
      </c>
      <c r="J157" s="95">
        <f t="shared" si="45"/>
        <v>125758.8</v>
      </c>
      <c r="K157" s="95">
        <f t="shared" si="45"/>
        <v>139732</v>
      </c>
      <c r="L157" s="95">
        <f t="shared" si="45"/>
        <v>153705.2</v>
      </c>
      <c r="M157" s="100">
        <f>+P157</f>
        <v>167678.4</v>
      </c>
      <c r="O157" s="72">
        <v>123861.17</v>
      </c>
      <c r="P157" s="2">
        <f>+ROUND(O157*$B$181/100+O157,2)</f>
        <v>167678.4</v>
      </c>
      <c r="Q157" s="72"/>
    </row>
    <row r="158" spans="1:17" ht="15">
      <c r="A158" s="76" t="s">
        <v>36</v>
      </c>
      <c r="B158" s="95">
        <f t="shared" si="45"/>
        <v>13026.7192</v>
      </c>
      <c r="C158" s="95">
        <f t="shared" si="45"/>
        <v>26053.4384</v>
      </c>
      <c r="D158" s="95">
        <f t="shared" si="45"/>
        <v>39080.1576</v>
      </c>
      <c r="E158" s="95">
        <f t="shared" si="45"/>
        <v>52106.8768</v>
      </c>
      <c r="F158" s="95">
        <f t="shared" si="45"/>
        <v>65133.596</v>
      </c>
      <c r="G158" s="95">
        <f t="shared" si="45"/>
        <v>78160.3152</v>
      </c>
      <c r="H158" s="95">
        <f t="shared" si="45"/>
        <v>91187.0344</v>
      </c>
      <c r="I158" s="95">
        <f t="shared" si="45"/>
        <v>104213.7536</v>
      </c>
      <c r="J158" s="95">
        <f t="shared" si="45"/>
        <v>117240.47279999999</v>
      </c>
      <c r="K158" s="95">
        <f t="shared" si="45"/>
        <v>130267.192</v>
      </c>
      <c r="L158" s="95">
        <f t="shared" si="45"/>
        <v>143293.9112</v>
      </c>
      <c r="M158" s="100">
        <f>+P158</f>
        <v>156320.63</v>
      </c>
      <c r="O158" s="72">
        <v>115471.38</v>
      </c>
      <c r="P158" s="2">
        <f>+ROUND(O158*$B$181/100+O158,2)</f>
        <v>156320.63</v>
      </c>
      <c r="Q158" s="72"/>
    </row>
    <row r="159" spans="1:17" ht="15">
      <c r="A159" s="76" t="s">
        <v>37</v>
      </c>
      <c r="B159" s="95">
        <f t="shared" si="45"/>
        <v>6569.4233</v>
      </c>
      <c r="C159" s="95">
        <f t="shared" si="45"/>
        <v>13138.8466</v>
      </c>
      <c r="D159" s="95">
        <f t="shared" si="45"/>
        <v>19708.2699</v>
      </c>
      <c r="E159" s="95">
        <f t="shared" si="45"/>
        <v>26277.6932</v>
      </c>
      <c r="F159" s="95">
        <f t="shared" si="45"/>
        <v>32847.116500000004</v>
      </c>
      <c r="G159" s="95">
        <f t="shared" si="45"/>
        <v>39416.5398</v>
      </c>
      <c r="H159" s="95">
        <f t="shared" si="45"/>
        <v>45985.9631</v>
      </c>
      <c r="I159" s="95">
        <f t="shared" si="45"/>
        <v>52555.3864</v>
      </c>
      <c r="J159" s="95">
        <f t="shared" si="45"/>
        <v>59124.809700000005</v>
      </c>
      <c r="K159" s="95">
        <f t="shared" si="45"/>
        <v>65694.23300000001</v>
      </c>
      <c r="L159" s="95">
        <f t="shared" si="45"/>
        <v>72263.6563</v>
      </c>
      <c r="M159" s="100">
        <f>+P159</f>
        <v>78833.08</v>
      </c>
      <c r="O159" s="72">
        <v>58232.65</v>
      </c>
      <c r="P159" s="2">
        <f>+ROUND(O159*$B$181/100+O159,2)</f>
        <v>78833.08</v>
      </c>
      <c r="Q159" s="72"/>
    </row>
    <row r="160" spans="1:17" ht="15">
      <c r="A160" s="76" t="s">
        <v>38</v>
      </c>
      <c r="B160" s="95">
        <f t="shared" si="45"/>
        <v>67071.36</v>
      </c>
      <c r="C160" s="95">
        <f t="shared" si="45"/>
        <v>134142.72</v>
      </c>
      <c r="D160" s="95">
        <f t="shared" si="45"/>
        <v>201214.08000000002</v>
      </c>
      <c r="E160" s="95">
        <f t="shared" si="45"/>
        <v>268285.44</v>
      </c>
      <c r="F160" s="95">
        <f t="shared" si="45"/>
        <v>335356.8</v>
      </c>
      <c r="G160" s="95">
        <f t="shared" si="45"/>
        <v>402428.16000000003</v>
      </c>
      <c r="H160" s="95">
        <f t="shared" si="45"/>
        <v>469499.52</v>
      </c>
      <c r="I160" s="95">
        <f t="shared" si="45"/>
        <v>536570.88</v>
      </c>
      <c r="J160" s="95">
        <f t="shared" si="45"/>
        <v>603642.24</v>
      </c>
      <c r="K160" s="95">
        <f t="shared" si="45"/>
        <v>670713.6</v>
      </c>
      <c r="L160" s="95">
        <f t="shared" si="45"/>
        <v>737784.96</v>
      </c>
      <c r="M160" s="95">
        <f>+M157*4.8</f>
        <v>804856.32</v>
      </c>
      <c r="O160" s="72">
        <v>594533.6159999999</v>
      </c>
      <c r="P160" s="2">
        <f>+ROUND(O160*$B$181/100+O160,2)</f>
        <v>804856.34</v>
      </c>
      <c r="Q160" s="72"/>
    </row>
    <row r="161" spans="1:17" ht="15">
      <c r="A161" s="76" t="s">
        <v>39</v>
      </c>
      <c r="B161" s="95">
        <f t="shared" si="45"/>
        <v>13973.2</v>
      </c>
      <c r="C161" s="95">
        <f t="shared" si="45"/>
        <v>27946.4</v>
      </c>
      <c r="D161" s="95">
        <f t="shared" si="45"/>
        <v>41919.600000000006</v>
      </c>
      <c r="E161" s="95">
        <f t="shared" si="45"/>
        <v>55892.8</v>
      </c>
      <c r="F161" s="95">
        <f t="shared" si="45"/>
        <v>69866</v>
      </c>
      <c r="G161" s="95">
        <f t="shared" si="45"/>
        <v>83839.20000000001</v>
      </c>
      <c r="H161" s="95">
        <f t="shared" si="45"/>
        <v>97812.40000000001</v>
      </c>
      <c r="I161" s="95">
        <f t="shared" si="45"/>
        <v>111785.6</v>
      </c>
      <c r="J161" s="95">
        <f t="shared" si="45"/>
        <v>125758.8</v>
      </c>
      <c r="K161" s="95">
        <f t="shared" si="45"/>
        <v>139732</v>
      </c>
      <c r="L161" s="95">
        <f t="shared" si="45"/>
        <v>153705.2</v>
      </c>
      <c r="M161" s="95">
        <f>+M157</f>
        <v>167678.4</v>
      </c>
      <c r="O161" s="72">
        <v>123861.17</v>
      </c>
      <c r="P161" s="2">
        <f>+ROUND(O161*$B$181/100+O161,2)</f>
        <v>167678.4</v>
      </c>
      <c r="Q161" s="72"/>
    </row>
    <row r="162" spans="1:17" ht="15">
      <c r="A162" s="76" t="s">
        <v>40</v>
      </c>
      <c r="B162" s="95">
        <v>0</v>
      </c>
      <c r="C162" s="95">
        <v>0</v>
      </c>
      <c r="D162" s="95">
        <v>0</v>
      </c>
      <c r="E162" s="95">
        <v>0</v>
      </c>
      <c r="F162" s="95">
        <v>0</v>
      </c>
      <c r="G162" s="95">
        <v>0</v>
      </c>
      <c r="H162" s="95">
        <v>0</v>
      </c>
      <c r="I162" s="95">
        <v>0</v>
      </c>
      <c r="J162" s="95">
        <v>0</v>
      </c>
      <c r="K162" s="95">
        <v>0</v>
      </c>
      <c r="L162" s="95">
        <v>0</v>
      </c>
      <c r="M162" s="95">
        <v>24000</v>
      </c>
      <c r="O162" s="72">
        <v>18000</v>
      </c>
      <c r="Q162" s="72"/>
    </row>
    <row r="163" spans="1:17" ht="15">
      <c r="A163" s="76" t="s">
        <v>41</v>
      </c>
      <c r="B163" s="95">
        <f aca="true" t="shared" si="46" ref="B163:L165">+ROUND($M163/12,4)*B$155</f>
        <v>83.0192</v>
      </c>
      <c r="C163" s="95">
        <f t="shared" si="46"/>
        <v>166.0384</v>
      </c>
      <c r="D163" s="95">
        <f t="shared" si="46"/>
        <v>249.05759999999998</v>
      </c>
      <c r="E163" s="95">
        <f t="shared" si="46"/>
        <v>332.0768</v>
      </c>
      <c r="F163" s="95">
        <f t="shared" si="46"/>
        <v>415.096</v>
      </c>
      <c r="G163" s="95">
        <f t="shared" si="46"/>
        <v>498.11519999999996</v>
      </c>
      <c r="H163" s="95">
        <f t="shared" si="46"/>
        <v>581.1344</v>
      </c>
      <c r="I163" s="95">
        <f t="shared" si="46"/>
        <v>664.1536</v>
      </c>
      <c r="J163" s="95">
        <f t="shared" si="46"/>
        <v>747.1727999999999</v>
      </c>
      <c r="K163" s="95">
        <f t="shared" si="46"/>
        <v>830.192</v>
      </c>
      <c r="L163" s="95">
        <f t="shared" si="46"/>
        <v>913.2112</v>
      </c>
      <c r="M163" s="95">
        <v>996.23</v>
      </c>
      <c r="O163" s="72">
        <v>996.23</v>
      </c>
      <c r="Q163" s="72"/>
    </row>
    <row r="164" spans="1:17" ht="15">
      <c r="A164" s="76" t="s">
        <v>42</v>
      </c>
      <c r="B164" s="95">
        <f t="shared" si="46"/>
        <v>1666.6667</v>
      </c>
      <c r="C164" s="95">
        <f t="shared" si="46"/>
        <v>3333.3334</v>
      </c>
      <c r="D164" s="95">
        <f t="shared" si="46"/>
        <v>5000.0001</v>
      </c>
      <c r="E164" s="95">
        <f t="shared" si="46"/>
        <v>6666.6668</v>
      </c>
      <c r="F164" s="95">
        <f t="shared" si="46"/>
        <v>8333.3335</v>
      </c>
      <c r="G164" s="95">
        <f t="shared" si="46"/>
        <v>10000.0002</v>
      </c>
      <c r="H164" s="95">
        <f t="shared" si="46"/>
        <v>11666.6669</v>
      </c>
      <c r="I164" s="95">
        <f t="shared" si="46"/>
        <v>13333.3336</v>
      </c>
      <c r="J164" s="95">
        <f t="shared" si="46"/>
        <v>15000.0003</v>
      </c>
      <c r="K164" s="95">
        <f t="shared" si="46"/>
        <v>16666.667</v>
      </c>
      <c r="L164" s="95">
        <f t="shared" si="46"/>
        <v>18333.3337</v>
      </c>
      <c r="M164" s="95">
        <v>20000</v>
      </c>
      <c r="O164" s="72">
        <v>20000</v>
      </c>
      <c r="Q164" s="72"/>
    </row>
    <row r="165" spans="1:17" ht="15">
      <c r="A165" s="76" t="s">
        <v>43</v>
      </c>
      <c r="B165" s="95">
        <f t="shared" si="46"/>
        <v>13973.2</v>
      </c>
      <c r="C165" s="95">
        <f t="shared" si="46"/>
        <v>27946.4</v>
      </c>
      <c r="D165" s="95">
        <f t="shared" si="46"/>
        <v>41919.600000000006</v>
      </c>
      <c r="E165" s="95">
        <f t="shared" si="46"/>
        <v>55892.8</v>
      </c>
      <c r="F165" s="95">
        <f t="shared" si="46"/>
        <v>69866</v>
      </c>
      <c r="G165" s="95">
        <f t="shared" si="46"/>
        <v>83839.20000000001</v>
      </c>
      <c r="H165" s="95">
        <f t="shared" si="46"/>
        <v>97812.40000000001</v>
      </c>
      <c r="I165" s="95">
        <f t="shared" si="46"/>
        <v>111785.6</v>
      </c>
      <c r="J165" s="95">
        <f t="shared" si="46"/>
        <v>125758.8</v>
      </c>
      <c r="K165" s="95">
        <f t="shared" si="46"/>
        <v>139732</v>
      </c>
      <c r="L165" s="95">
        <f t="shared" si="46"/>
        <v>153705.2</v>
      </c>
      <c r="M165" s="95">
        <f>+M157</f>
        <v>167678.4</v>
      </c>
      <c r="O165" s="72">
        <v>123861.17</v>
      </c>
      <c r="P165" s="2">
        <f>+ROUND(O165*$B$181/100+O165,2)</f>
        <v>167678.4</v>
      </c>
      <c r="Q165" s="72"/>
    </row>
    <row r="166" spans="1:17" ht="15">
      <c r="A166" s="76" t="s">
        <v>44</v>
      </c>
      <c r="B166" s="95" t="s">
        <v>45</v>
      </c>
      <c r="C166" s="95" t="s">
        <v>45</v>
      </c>
      <c r="D166" s="95" t="s">
        <v>45</v>
      </c>
      <c r="E166" s="95" t="s">
        <v>45</v>
      </c>
      <c r="F166" s="95" t="s">
        <v>45</v>
      </c>
      <c r="G166" s="95" t="s">
        <v>45</v>
      </c>
      <c r="H166" s="95" t="s">
        <v>45</v>
      </c>
      <c r="I166" s="95" t="s">
        <v>45</v>
      </c>
      <c r="J166" s="95" t="s">
        <v>45</v>
      </c>
      <c r="K166" s="95" t="s">
        <v>45</v>
      </c>
      <c r="L166" s="95" t="s">
        <v>45</v>
      </c>
      <c r="M166" s="95" t="s">
        <v>45</v>
      </c>
      <c r="O166" s="72"/>
      <c r="Q166" s="72"/>
    </row>
    <row r="167" spans="1:17" ht="15">
      <c r="A167" s="76" t="s">
        <v>46</v>
      </c>
      <c r="B167" s="95">
        <f aca="true" t="shared" si="47" ref="B167:L167">+ROUND($M167/12,4)*B$155</f>
        <v>5589.28</v>
      </c>
      <c r="C167" s="95">
        <f t="shared" si="47"/>
        <v>11178.56</v>
      </c>
      <c r="D167" s="95">
        <f t="shared" si="47"/>
        <v>16767.84</v>
      </c>
      <c r="E167" s="95">
        <f t="shared" si="47"/>
        <v>22357.12</v>
      </c>
      <c r="F167" s="95">
        <f t="shared" si="47"/>
        <v>27946.399999999998</v>
      </c>
      <c r="G167" s="95">
        <f t="shared" si="47"/>
        <v>33535.68</v>
      </c>
      <c r="H167" s="95">
        <f t="shared" si="47"/>
        <v>39124.96</v>
      </c>
      <c r="I167" s="95">
        <f t="shared" si="47"/>
        <v>44714.24</v>
      </c>
      <c r="J167" s="95">
        <f t="shared" si="47"/>
        <v>50303.52</v>
      </c>
      <c r="K167" s="95">
        <f t="shared" si="47"/>
        <v>55892.799999999996</v>
      </c>
      <c r="L167" s="95">
        <f t="shared" si="47"/>
        <v>61482.079999999994</v>
      </c>
      <c r="M167" s="95">
        <f>+M165*0.4</f>
        <v>67071.36</v>
      </c>
      <c r="O167" s="72">
        <v>49544.468</v>
      </c>
      <c r="P167" s="2">
        <f>+ROUND(O167*$B$181/100+O167,2)</f>
        <v>67071.36</v>
      </c>
      <c r="Q167" s="72"/>
    </row>
    <row r="168" spans="1:17" ht="15">
      <c r="A168" s="76" t="s">
        <v>47</v>
      </c>
      <c r="B168" s="95" t="s">
        <v>45</v>
      </c>
      <c r="C168" s="95" t="s">
        <v>45</v>
      </c>
      <c r="D168" s="95" t="s">
        <v>45</v>
      </c>
      <c r="E168" s="95" t="s">
        <v>45</v>
      </c>
      <c r="F168" s="95" t="s">
        <v>45</v>
      </c>
      <c r="G168" s="95" t="s">
        <v>45</v>
      </c>
      <c r="H168" s="95" t="s">
        <v>45</v>
      </c>
      <c r="I168" s="95" t="s">
        <v>45</v>
      </c>
      <c r="J168" s="95" t="s">
        <v>45</v>
      </c>
      <c r="K168" s="95" t="s">
        <v>45</v>
      </c>
      <c r="L168" s="95" t="s">
        <v>45</v>
      </c>
      <c r="M168" s="95" t="s">
        <v>45</v>
      </c>
      <c r="N168" s="72"/>
      <c r="P168" s="72"/>
      <c r="Q168" s="72"/>
    </row>
    <row r="169" spans="1:17" ht="15">
      <c r="A169" s="76" t="s">
        <v>48</v>
      </c>
      <c r="B169" s="95" t="s">
        <v>49</v>
      </c>
      <c r="C169" s="95" t="s">
        <v>49</v>
      </c>
      <c r="D169" s="95" t="s">
        <v>49</v>
      </c>
      <c r="E169" s="95" t="s">
        <v>49</v>
      </c>
      <c r="F169" s="95" t="s">
        <v>49</v>
      </c>
      <c r="G169" s="95" t="s">
        <v>49</v>
      </c>
      <c r="H169" s="95" t="s">
        <v>49</v>
      </c>
      <c r="I169" s="95" t="s">
        <v>49</v>
      </c>
      <c r="J169" s="95" t="s">
        <v>49</v>
      </c>
      <c r="K169" s="95" t="s">
        <v>49</v>
      </c>
      <c r="L169" s="95" t="s">
        <v>49</v>
      </c>
      <c r="M169" s="95" t="s">
        <v>49</v>
      </c>
      <c r="N169" s="72"/>
      <c r="P169" s="72"/>
      <c r="Q169" s="72"/>
    </row>
    <row r="170" spans="1:17" ht="15">
      <c r="A170" s="76" t="s">
        <v>50</v>
      </c>
      <c r="B170" s="95" t="s">
        <v>49</v>
      </c>
      <c r="C170" s="95" t="s">
        <v>49</v>
      </c>
      <c r="D170" s="95" t="s">
        <v>49</v>
      </c>
      <c r="E170" s="95" t="s">
        <v>49</v>
      </c>
      <c r="F170" s="95" t="s">
        <v>49</v>
      </c>
      <c r="G170" s="95" t="s">
        <v>49</v>
      </c>
      <c r="H170" s="95" t="s">
        <v>49</v>
      </c>
      <c r="I170" s="95" t="s">
        <v>49</v>
      </c>
      <c r="J170" s="95" t="s">
        <v>49</v>
      </c>
      <c r="K170" s="95" t="s">
        <v>49</v>
      </c>
      <c r="L170" s="95" t="s">
        <v>49</v>
      </c>
      <c r="M170" s="95" t="s">
        <v>49</v>
      </c>
      <c r="N170" s="72"/>
      <c r="P170" s="72"/>
      <c r="Q170" s="72"/>
    </row>
    <row r="171" spans="1:17" ht="15.75" thickBot="1">
      <c r="A171" s="77" t="s">
        <v>51</v>
      </c>
      <c r="B171" s="95" t="s">
        <v>49</v>
      </c>
      <c r="C171" s="95" t="s">
        <v>49</v>
      </c>
      <c r="D171" s="95" t="s">
        <v>49</v>
      </c>
      <c r="E171" s="95" t="s">
        <v>49</v>
      </c>
      <c r="F171" s="95" t="s">
        <v>49</v>
      </c>
      <c r="G171" s="95" t="s">
        <v>49</v>
      </c>
      <c r="H171" s="95" t="s">
        <v>49</v>
      </c>
      <c r="I171" s="95" t="s">
        <v>49</v>
      </c>
      <c r="J171" s="95" t="s">
        <v>49</v>
      </c>
      <c r="K171" s="95" t="s">
        <v>49</v>
      </c>
      <c r="L171" s="95" t="s">
        <v>49</v>
      </c>
      <c r="M171" s="95" t="s">
        <v>49</v>
      </c>
      <c r="N171" s="72"/>
      <c r="P171" s="72"/>
      <c r="Q171" s="72"/>
    </row>
    <row r="172" spans="1:17" ht="12">
      <c r="A172" s="72"/>
      <c r="B172" s="72"/>
      <c r="C172" s="72"/>
      <c r="F172" s="72"/>
      <c r="G172" s="72"/>
      <c r="H172" s="72"/>
      <c r="I172" s="72"/>
      <c r="J172" s="72"/>
      <c r="K172" s="72"/>
      <c r="L172" s="72"/>
      <c r="M172" s="72"/>
      <c r="N172" s="72"/>
      <c r="P172" s="72"/>
      <c r="Q172" s="72"/>
    </row>
    <row r="173" spans="1:17" ht="12">
      <c r="A173" s="72"/>
      <c r="B173" s="72"/>
      <c r="C173" s="72"/>
      <c r="F173" s="72"/>
      <c r="G173" s="72"/>
      <c r="H173" s="72"/>
      <c r="I173" s="72"/>
      <c r="J173" s="72"/>
      <c r="K173" s="72"/>
      <c r="L173" s="72"/>
      <c r="M173" s="72"/>
      <c r="N173" s="72"/>
      <c r="P173" s="72"/>
      <c r="Q173" s="72"/>
    </row>
    <row r="174" spans="1:17" ht="12.75" thickBot="1">
      <c r="A174" s="72"/>
      <c r="B174" s="72"/>
      <c r="C174" s="72"/>
      <c r="G174" s="72"/>
      <c r="H174" s="72"/>
      <c r="I174" s="72"/>
      <c r="J174" s="72"/>
      <c r="K174" s="72"/>
      <c r="L174" s="72"/>
      <c r="M174" s="72"/>
      <c r="N174" s="72"/>
      <c r="P174" s="72"/>
      <c r="Q174" s="72"/>
    </row>
    <row r="175" spans="1:17" ht="15">
      <c r="A175" s="299" t="s">
        <v>148</v>
      </c>
      <c r="B175" s="300"/>
      <c r="C175" s="72"/>
      <c r="D175" s="262" t="s">
        <v>154</v>
      </c>
      <c r="E175" s="263"/>
      <c r="F175" s="263"/>
      <c r="G175" s="263"/>
      <c r="H175" s="264"/>
      <c r="I175" s="72"/>
      <c r="J175" s="72"/>
      <c r="K175" s="72"/>
      <c r="L175" s="72"/>
      <c r="M175" s="72"/>
      <c r="N175" s="72"/>
      <c r="P175" s="72"/>
      <c r="Q175" s="72"/>
    </row>
    <row r="176" spans="1:17" ht="12">
      <c r="A176" s="78" t="s">
        <v>149</v>
      </c>
      <c r="B176" s="78" t="s">
        <v>150</v>
      </c>
      <c r="C176" s="72"/>
      <c r="D176" s="78" t="s">
        <v>52</v>
      </c>
      <c r="E176" s="79" t="s">
        <v>53</v>
      </c>
      <c r="F176" s="79" t="s">
        <v>54</v>
      </c>
      <c r="G176" s="79" t="s">
        <v>55</v>
      </c>
      <c r="H176" s="80" t="s">
        <v>56</v>
      </c>
      <c r="I176" s="72"/>
      <c r="J176" s="72"/>
      <c r="K176" s="72"/>
      <c r="L176" s="72"/>
      <c r="M176" s="72"/>
      <c r="N176" s="72"/>
      <c r="P176" s="72"/>
      <c r="Q176" s="72"/>
    </row>
    <row r="177" spans="1:17" ht="15">
      <c r="A177" s="95" t="s">
        <v>151</v>
      </c>
      <c r="B177" s="95">
        <f>+'2020'!E177</f>
        <v>47669.16</v>
      </c>
      <c r="C177" s="72"/>
      <c r="D177" s="132">
        <v>0</v>
      </c>
      <c r="E177" s="95">
        <f>+ROUND(B177*B181/100+B177,2)</f>
        <v>64532.64</v>
      </c>
      <c r="F177" s="132">
        <v>0</v>
      </c>
      <c r="G177" s="115">
        <v>5</v>
      </c>
      <c r="H177" s="132">
        <v>0</v>
      </c>
      <c r="I177" s="72"/>
      <c r="J177" s="72"/>
      <c r="K177" s="72"/>
      <c r="L177" s="72"/>
      <c r="M177" s="72"/>
      <c r="N177" s="72"/>
      <c r="P177" s="72"/>
      <c r="Q177" s="72"/>
    </row>
    <row r="178" spans="1:17" ht="15">
      <c r="A178" s="95" t="s">
        <v>152</v>
      </c>
      <c r="B178" s="95">
        <v>47834.32</v>
      </c>
      <c r="C178" s="72"/>
      <c r="D178" s="132">
        <f>+E177</f>
        <v>64532.64</v>
      </c>
      <c r="E178" s="132">
        <f>+D178+E177</f>
        <v>129065.28</v>
      </c>
      <c r="F178" s="132">
        <f>+ROUND(E177*G177/100,3)</f>
        <v>3226.632</v>
      </c>
      <c r="G178" s="115">
        <v>9</v>
      </c>
      <c r="H178" s="132">
        <f>+E177</f>
        <v>64532.64</v>
      </c>
      <c r="I178" s="72"/>
      <c r="J178" s="72"/>
      <c r="K178" s="72"/>
      <c r="L178" s="72"/>
      <c r="M178" s="72"/>
      <c r="N178" s="72"/>
      <c r="P178" s="72"/>
      <c r="Q178" s="72"/>
    </row>
    <row r="179" spans="1:17" ht="15">
      <c r="A179" s="95" t="s">
        <v>153</v>
      </c>
      <c r="B179" s="95">
        <v>64756.23</v>
      </c>
      <c r="C179" s="72"/>
      <c r="D179" s="132">
        <f aca="true" t="shared" si="48" ref="D179:D185">+E178</f>
        <v>129065.28</v>
      </c>
      <c r="E179" s="132">
        <f>+D179+E177</f>
        <v>193597.91999999998</v>
      </c>
      <c r="F179" s="132">
        <f>+ROUND(E177*G178/100,3)+F178</f>
        <v>9034.57</v>
      </c>
      <c r="G179" s="115">
        <v>12</v>
      </c>
      <c r="H179" s="132">
        <f aca="true" t="shared" si="49" ref="H179:H185">+E178</f>
        <v>129065.28</v>
      </c>
      <c r="I179" s="72"/>
      <c r="J179" s="72"/>
      <c r="K179" s="72"/>
      <c r="L179" s="72"/>
      <c r="M179" s="72"/>
      <c r="N179" s="72"/>
      <c r="P179" s="72"/>
      <c r="Q179" s="72"/>
    </row>
    <row r="180" spans="1:17" ht="15">
      <c r="A180" s="72"/>
      <c r="B180" s="72"/>
      <c r="C180" s="72"/>
      <c r="D180" s="132">
        <f t="shared" si="48"/>
        <v>193597.91999999998</v>
      </c>
      <c r="E180" s="132">
        <f>+D180+E177</f>
        <v>258130.56</v>
      </c>
      <c r="F180" s="132">
        <f>+ROUND(E177*G179/100,3)+F179</f>
        <v>16778.487</v>
      </c>
      <c r="G180" s="115">
        <v>15</v>
      </c>
      <c r="H180" s="132">
        <f t="shared" si="49"/>
        <v>193597.91999999998</v>
      </c>
      <c r="I180" s="72"/>
      <c r="J180" s="72"/>
      <c r="K180" s="72"/>
      <c r="L180" s="72"/>
      <c r="M180" s="72"/>
      <c r="N180" s="72"/>
      <c r="P180" s="72"/>
      <c r="Q180" s="72"/>
    </row>
    <row r="181" spans="1:17" ht="15">
      <c r="A181" s="95" t="s">
        <v>147</v>
      </c>
      <c r="B181" s="133">
        <f>+ROUND(((B179-B178)/B178)*100,37)</f>
        <v>35.376085622206</v>
      </c>
      <c r="C181" s="72"/>
      <c r="D181" s="132">
        <f t="shared" si="48"/>
        <v>258130.56</v>
      </c>
      <c r="E181" s="132">
        <f>+D181+E178</f>
        <v>387195.83999999997</v>
      </c>
      <c r="F181" s="132">
        <f>+ROUND(E177*G180/100,3)+F180</f>
        <v>26458.383</v>
      </c>
      <c r="G181" s="115">
        <v>19</v>
      </c>
      <c r="H181" s="132">
        <f t="shared" si="49"/>
        <v>258130.56</v>
      </c>
      <c r="I181" s="72"/>
      <c r="J181" s="72"/>
      <c r="K181" s="72"/>
      <c r="L181" s="72"/>
      <c r="M181" s="72"/>
      <c r="N181" s="72"/>
      <c r="P181" s="72"/>
      <c r="Q181" s="72"/>
    </row>
    <row r="182" spans="1:17" ht="15">
      <c r="A182" s="72"/>
      <c r="B182" s="72"/>
      <c r="C182" s="72"/>
      <c r="D182" s="132">
        <f t="shared" si="48"/>
        <v>387195.83999999997</v>
      </c>
      <c r="E182" s="132">
        <f>+D182+E178</f>
        <v>516261.12</v>
      </c>
      <c r="F182" s="132">
        <f>+ROUND(E178*G181/100,3)+F181</f>
        <v>50980.786</v>
      </c>
      <c r="G182" s="115">
        <v>23</v>
      </c>
      <c r="H182" s="132">
        <f t="shared" si="49"/>
        <v>387195.83999999997</v>
      </c>
      <c r="I182" s="72"/>
      <c r="J182" s="72"/>
      <c r="K182" s="72"/>
      <c r="L182" s="72"/>
      <c r="M182" s="72"/>
      <c r="N182" s="72"/>
      <c r="P182" s="72"/>
      <c r="Q182" s="72"/>
    </row>
    <row r="183" spans="1:17" ht="15">
      <c r="A183" s="72"/>
      <c r="B183" s="72"/>
      <c r="C183" s="72"/>
      <c r="D183" s="132">
        <f t="shared" si="48"/>
        <v>516261.12</v>
      </c>
      <c r="E183" s="132">
        <f>+D183+E180</f>
        <v>774391.6799999999</v>
      </c>
      <c r="F183" s="132">
        <f>+ROUND(E178*G182/100,3)+F182</f>
        <v>80665.8</v>
      </c>
      <c r="G183" s="115">
        <v>27</v>
      </c>
      <c r="H183" s="132">
        <f t="shared" si="49"/>
        <v>516261.12</v>
      </c>
      <c r="I183" s="72"/>
      <c r="J183" s="72"/>
      <c r="K183" s="72"/>
      <c r="L183" s="72"/>
      <c r="M183" s="72"/>
      <c r="N183" s="72"/>
      <c r="P183" s="72"/>
      <c r="Q183" s="72"/>
    </row>
    <row r="184" spans="1:17" ht="15">
      <c r="A184" s="72"/>
      <c r="B184" s="72"/>
      <c r="C184" s="72"/>
      <c r="D184" s="132">
        <f t="shared" si="48"/>
        <v>774391.6799999999</v>
      </c>
      <c r="E184" s="132">
        <f>+D184+E180</f>
        <v>1032522.24</v>
      </c>
      <c r="F184" s="132">
        <f>+ROUND(E180*G183/100,3)+F183</f>
        <v>150361.051</v>
      </c>
      <c r="G184" s="115">
        <v>31</v>
      </c>
      <c r="H184" s="132">
        <f t="shared" si="49"/>
        <v>774391.6799999999</v>
      </c>
      <c r="I184" s="72"/>
      <c r="J184" s="72"/>
      <c r="K184" s="72"/>
      <c r="L184" s="72"/>
      <c r="M184" s="72"/>
      <c r="N184" s="72"/>
      <c r="P184" s="72"/>
      <c r="Q184" s="72"/>
    </row>
    <row r="185" spans="1:17" ht="15">
      <c r="A185" s="72"/>
      <c r="B185" s="72"/>
      <c r="C185" s="72"/>
      <c r="D185" s="132">
        <f t="shared" si="48"/>
        <v>1032522.24</v>
      </c>
      <c r="E185" s="132">
        <v>999999999</v>
      </c>
      <c r="F185" s="132">
        <f>+ROUND(E180*G184/100,2)+F184</f>
        <v>230381.521</v>
      </c>
      <c r="G185" s="115">
        <v>35</v>
      </c>
      <c r="H185" s="132">
        <f t="shared" si="49"/>
        <v>1032522.24</v>
      </c>
      <c r="I185" s="72"/>
      <c r="J185" s="72"/>
      <c r="K185" s="72"/>
      <c r="L185" s="72"/>
      <c r="M185" s="72"/>
      <c r="N185" s="72"/>
      <c r="P185" s="72"/>
      <c r="Q185" s="72"/>
    </row>
    <row r="186" spans="1:17" ht="12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P186" s="72"/>
      <c r="Q186" s="72"/>
    </row>
    <row r="187" spans="1:17" ht="12.75" thickBot="1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P187" s="72"/>
      <c r="Q187" s="72"/>
    </row>
    <row r="188" spans="1:17" ht="12">
      <c r="A188" s="83" t="s">
        <v>87</v>
      </c>
      <c r="B188" s="84">
        <v>12</v>
      </c>
      <c r="C188" s="84">
        <v>11</v>
      </c>
      <c r="D188" s="84">
        <v>10</v>
      </c>
      <c r="E188" s="84">
        <v>9</v>
      </c>
      <c r="F188" s="84">
        <v>8</v>
      </c>
      <c r="G188" s="84">
        <v>7</v>
      </c>
      <c r="H188" s="84">
        <v>6</v>
      </c>
      <c r="I188" s="84">
        <v>5</v>
      </c>
      <c r="J188" s="84">
        <v>4</v>
      </c>
      <c r="K188" s="84">
        <v>3</v>
      </c>
      <c r="L188" s="84">
        <v>2</v>
      </c>
      <c r="M188" s="84">
        <v>1</v>
      </c>
      <c r="N188" s="85"/>
      <c r="P188" s="72"/>
      <c r="Q188" s="72"/>
    </row>
    <row r="189" spans="1:17" ht="12.75" thickBot="1">
      <c r="A189" s="86"/>
      <c r="B189" s="87">
        <f>12-B188</f>
        <v>0</v>
      </c>
      <c r="C189" s="87">
        <f aca="true" t="shared" si="50" ref="C189:M189">12-C188</f>
        <v>1</v>
      </c>
      <c r="D189" s="87">
        <f t="shared" si="50"/>
        <v>2</v>
      </c>
      <c r="E189" s="87">
        <f t="shared" si="50"/>
        <v>3</v>
      </c>
      <c r="F189" s="87">
        <f t="shared" si="50"/>
        <v>4</v>
      </c>
      <c r="G189" s="87">
        <f t="shared" si="50"/>
        <v>5</v>
      </c>
      <c r="H189" s="87">
        <f t="shared" si="50"/>
        <v>6</v>
      </c>
      <c r="I189" s="87">
        <f t="shared" si="50"/>
        <v>7</v>
      </c>
      <c r="J189" s="87">
        <f t="shared" si="50"/>
        <v>8</v>
      </c>
      <c r="K189" s="87">
        <f t="shared" si="50"/>
        <v>9</v>
      </c>
      <c r="L189" s="87">
        <f t="shared" si="50"/>
        <v>10</v>
      </c>
      <c r="M189" s="87">
        <f t="shared" si="50"/>
        <v>11</v>
      </c>
      <c r="N189" s="88"/>
      <c r="P189" s="72"/>
      <c r="Q189" s="72"/>
    </row>
    <row r="190" spans="1:17" ht="12">
      <c r="A190" s="74" t="s">
        <v>95</v>
      </c>
      <c r="B190" s="74" t="str">
        <f>+B5</f>
        <v>Enero</v>
      </c>
      <c r="C190" s="74" t="str">
        <f aca="true" t="shared" si="51" ref="C190:M190">+C5</f>
        <v>Febrero</v>
      </c>
      <c r="D190" s="74" t="str">
        <f t="shared" si="51"/>
        <v>Marzo</v>
      </c>
      <c r="E190" s="74" t="str">
        <f t="shared" si="51"/>
        <v>Abril</v>
      </c>
      <c r="F190" s="74" t="str">
        <f t="shared" si="51"/>
        <v>Mayo</v>
      </c>
      <c r="G190" s="74" t="str">
        <f t="shared" si="51"/>
        <v>Junio</v>
      </c>
      <c r="H190" s="74" t="str">
        <f t="shared" si="51"/>
        <v>Julio</v>
      </c>
      <c r="I190" s="74" t="str">
        <f t="shared" si="51"/>
        <v>Agosto</v>
      </c>
      <c r="J190" s="74" t="str">
        <f t="shared" si="51"/>
        <v>Septiembre</v>
      </c>
      <c r="K190" s="74" t="str">
        <f t="shared" si="51"/>
        <v>Octubre</v>
      </c>
      <c r="L190" s="74" t="str">
        <f t="shared" si="51"/>
        <v>Noviembre</v>
      </c>
      <c r="M190" s="74" t="str">
        <f t="shared" si="51"/>
        <v>Diciembre</v>
      </c>
      <c r="N190" s="74" t="s">
        <v>61</v>
      </c>
      <c r="P190" s="72"/>
      <c r="Q190" s="72"/>
    </row>
    <row r="191" spans="1:17" ht="12">
      <c r="A191" s="81" t="s">
        <v>23</v>
      </c>
      <c r="B191" s="81">
        <f>+ROUND(IF($E$1&gt;B$189,(B15)/B$188*($E$1-B$189),0),2)</f>
        <v>0</v>
      </c>
      <c r="C191" s="81">
        <f>+ROUND(IF($E$1&gt;C$189,(C15)/C$188*($E$1-C$189),0),2)</f>
        <v>0</v>
      </c>
      <c r="D191" s="81">
        <f>+ROUND(IF($E$1&gt;D$189,(D15)/D$188*($E$1-D$189),0),2)</f>
        <v>0</v>
      </c>
      <c r="E191" s="81">
        <f aca="true" t="shared" si="52" ref="E191:M191">+ROUND(IF($E$1&gt;E$189,(E15)/E$188*($E$1-E$189),0),2)</f>
        <v>0</v>
      </c>
      <c r="F191" s="81">
        <f t="shared" si="52"/>
        <v>0</v>
      </c>
      <c r="G191" s="81">
        <f t="shared" si="52"/>
        <v>0</v>
      </c>
      <c r="H191" s="81">
        <f t="shared" si="52"/>
        <v>0</v>
      </c>
      <c r="I191" s="81">
        <f t="shared" si="52"/>
        <v>0</v>
      </c>
      <c r="J191" s="81">
        <f t="shared" si="52"/>
        <v>0</v>
      </c>
      <c r="K191" s="81">
        <f t="shared" si="52"/>
        <v>0</v>
      </c>
      <c r="L191" s="81">
        <f t="shared" si="52"/>
        <v>0</v>
      </c>
      <c r="M191" s="81">
        <f t="shared" si="52"/>
        <v>0</v>
      </c>
      <c r="N191" s="81">
        <f>+SUM(B191:M191)</f>
        <v>0</v>
      </c>
      <c r="P191" s="72"/>
      <c r="Q191" s="72"/>
    </row>
    <row r="192" spans="1:17" ht="12.75" thickBot="1">
      <c r="A192" s="82" t="s">
        <v>24</v>
      </c>
      <c r="B192" s="82">
        <f aca="true" t="shared" si="53" ref="B192:M192">+ROUND(IF($E$1&gt;B$189,B16/B$188*($E$1-B$189),0),2)</f>
        <v>0</v>
      </c>
      <c r="C192" s="82">
        <f t="shared" si="53"/>
        <v>0</v>
      </c>
      <c r="D192" s="82">
        <f t="shared" si="53"/>
        <v>0</v>
      </c>
      <c r="E192" s="82">
        <f t="shared" si="53"/>
        <v>0</v>
      </c>
      <c r="F192" s="82">
        <f t="shared" si="53"/>
        <v>0</v>
      </c>
      <c r="G192" s="82">
        <f t="shared" si="53"/>
        <v>0</v>
      </c>
      <c r="H192" s="82">
        <f t="shared" si="53"/>
        <v>0</v>
      </c>
      <c r="I192" s="82">
        <f t="shared" si="53"/>
        <v>0</v>
      </c>
      <c r="J192" s="82">
        <f t="shared" si="53"/>
        <v>0</v>
      </c>
      <c r="K192" s="82">
        <f t="shared" si="53"/>
        <v>0</v>
      </c>
      <c r="L192" s="82">
        <f t="shared" si="53"/>
        <v>0</v>
      </c>
      <c r="M192" s="82">
        <f t="shared" si="53"/>
        <v>0</v>
      </c>
      <c r="N192" s="82">
        <f>+SUM(B192:M192)</f>
        <v>0</v>
      </c>
      <c r="P192" s="72"/>
      <c r="Q192" s="72"/>
    </row>
    <row r="193" spans="1:17" ht="12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</row>
    <row r="194" spans="1:17" ht="12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</row>
  </sheetData>
  <sheetProtection/>
  <mergeCells count="60">
    <mergeCell ref="B53:F53"/>
    <mergeCell ref="I53:K53"/>
    <mergeCell ref="I54:K54"/>
    <mergeCell ref="I55:K55"/>
    <mergeCell ref="I56:K56"/>
    <mergeCell ref="I57:K57"/>
    <mergeCell ref="I58:K58"/>
    <mergeCell ref="I59:K59"/>
    <mergeCell ref="I60:K60"/>
    <mergeCell ref="I61:K61"/>
    <mergeCell ref="I62:K62"/>
    <mergeCell ref="I63:K63"/>
    <mergeCell ref="I64:K64"/>
    <mergeCell ref="I65:K65"/>
    <mergeCell ref="I66:K66"/>
    <mergeCell ref="I67:K67"/>
    <mergeCell ref="I68:K68"/>
    <mergeCell ref="I69:K69"/>
    <mergeCell ref="I70:K70"/>
    <mergeCell ref="I71:K71"/>
    <mergeCell ref="I72:K72"/>
    <mergeCell ref="I73:K73"/>
    <mergeCell ref="I75:K75"/>
    <mergeCell ref="I76:K76"/>
    <mergeCell ref="I77:K77"/>
    <mergeCell ref="I78:K78"/>
    <mergeCell ref="I79:K79"/>
    <mergeCell ref="I80:K80"/>
    <mergeCell ref="I82:K82"/>
    <mergeCell ref="I84:M84"/>
    <mergeCell ref="I85:M85"/>
    <mergeCell ref="I86:M86"/>
    <mergeCell ref="I88:M88"/>
    <mergeCell ref="I89:M89"/>
    <mergeCell ref="I90:M90"/>
    <mergeCell ref="I91:M91"/>
    <mergeCell ref="I92:M92"/>
    <mergeCell ref="I95:M95"/>
    <mergeCell ref="I97:M97"/>
    <mergeCell ref="I99:K99"/>
    <mergeCell ref="I100:M100"/>
    <mergeCell ref="I101:M101"/>
    <mergeCell ref="I102:M102"/>
    <mergeCell ref="I103:M103"/>
    <mergeCell ref="I105:M105"/>
    <mergeCell ref="I107:M107"/>
    <mergeCell ref="I108:M108"/>
    <mergeCell ref="I109:M109"/>
    <mergeCell ref="I111:M111"/>
    <mergeCell ref="A113:B113"/>
    <mergeCell ref="I113:M113"/>
    <mergeCell ref="I114:M114"/>
    <mergeCell ref="I115:M115"/>
    <mergeCell ref="I117:M117"/>
    <mergeCell ref="I119:K119"/>
    <mergeCell ref="I120:K120"/>
    <mergeCell ref="I121:K121"/>
    <mergeCell ref="A154:M154"/>
    <mergeCell ref="A175:B175"/>
    <mergeCell ref="D175:H175"/>
  </mergeCells>
  <dataValidations count="1">
    <dataValidation type="list" allowBlank="1" showInputMessage="1" showErrorMessage="1" sqref="E1">
      <formula1>tabla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9"/>
  <sheetViews>
    <sheetView tabSelected="1" zoomScale="80" zoomScaleNormal="80" zoomScalePageLayoutView="0" workbookViewId="0" topLeftCell="A1">
      <pane xSplit="2" ySplit="5" topLeftCell="C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35" sqref="H135"/>
    </sheetView>
  </sheetViews>
  <sheetFormatPr defaultColWidth="0" defaultRowHeight="15"/>
  <cols>
    <col min="1" max="1" width="41.421875" style="2" bestFit="1" customWidth="1"/>
    <col min="2" max="2" width="12.00390625" style="2" customWidth="1"/>
    <col min="3" max="3" width="17.140625" style="2" bestFit="1" customWidth="1"/>
    <col min="4" max="4" width="15.28125" style="2" bestFit="1" customWidth="1"/>
    <col min="5" max="5" width="13.8515625" style="2" bestFit="1" customWidth="1"/>
    <col min="6" max="6" width="15.140625" style="2" bestFit="1" customWidth="1"/>
    <col min="7" max="7" width="13.7109375" style="2" bestFit="1" customWidth="1"/>
    <col min="8" max="8" width="15.00390625" style="2" bestFit="1" customWidth="1"/>
    <col min="9" max="9" width="13.7109375" style="2" bestFit="1" customWidth="1"/>
    <col min="10" max="10" width="15.7109375" style="2" customWidth="1"/>
    <col min="11" max="11" width="12.8515625" style="2" bestFit="1" customWidth="1"/>
    <col min="12" max="13" width="13.8515625" style="2" bestFit="1" customWidth="1"/>
    <col min="14" max="14" width="17.421875" style="2" bestFit="1" customWidth="1"/>
    <col min="15" max="15" width="16.7109375" style="2" bestFit="1" customWidth="1"/>
    <col min="16" max="16" width="14.140625" style="2" bestFit="1" customWidth="1"/>
    <col min="17" max="17" width="13.7109375" style="2" bestFit="1" customWidth="1"/>
    <col min="18" max="18" width="7.7109375" style="2" customWidth="1"/>
    <col min="19" max="16384" width="11.421875" style="5" hidden="1" customWidth="1"/>
  </cols>
  <sheetData>
    <row r="1" spans="1:18" ht="15.75" thickBot="1">
      <c r="A1" s="316" t="s">
        <v>91</v>
      </c>
      <c r="B1" s="317"/>
      <c r="C1" s="169" t="s">
        <v>92</v>
      </c>
      <c r="D1" s="153"/>
      <c r="E1" s="168" t="s">
        <v>33</v>
      </c>
      <c r="F1" s="4">
        <v>7</v>
      </c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1:18" ht="15.75" thickBot="1">
      <c r="A2" s="331" t="s">
        <v>189</v>
      </c>
      <c r="B2" s="332"/>
      <c r="C2" s="99" t="s">
        <v>190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</row>
    <row r="3" spans="1:18" ht="15.75" thickBot="1">
      <c r="A3" s="329" t="s">
        <v>141</v>
      </c>
      <c r="B3" s="330"/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53"/>
      <c r="Q3" s="153"/>
      <c r="R3" s="153"/>
    </row>
    <row r="4" spans="1:18" ht="15.75" thickBot="1">
      <c r="A4" s="329" t="s">
        <v>89</v>
      </c>
      <c r="B4" s="330"/>
      <c r="C4" s="162">
        <v>1</v>
      </c>
      <c r="D4" s="162">
        <v>2</v>
      </c>
      <c r="E4" s="162">
        <v>3</v>
      </c>
      <c r="F4" s="162">
        <v>4</v>
      </c>
      <c r="G4" s="162">
        <v>5</v>
      </c>
      <c r="H4" s="162">
        <v>6</v>
      </c>
      <c r="I4" s="162">
        <v>7</v>
      </c>
      <c r="J4" s="162">
        <v>8</v>
      </c>
      <c r="K4" s="162">
        <v>9</v>
      </c>
      <c r="L4" s="162">
        <v>10</v>
      </c>
      <c r="M4" s="162">
        <v>11</v>
      </c>
      <c r="N4" s="162">
        <v>12</v>
      </c>
      <c r="O4" s="162">
        <v>12</v>
      </c>
      <c r="P4" s="153"/>
      <c r="Q4" s="153"/>
      <c r="R4" s="153"/>
    </row>
    <row r="5" spans="1:18" ht="15.75" thickBot="1">
      <c r="A5" s="329" t="s">
        <v>90</v>
      </c>
      <c r="B5" s="330"/>
      <c r="C5" s="162" t="s">
        <v>2</v>
      </c>
      <c r="D5" s="162" t="s">
        <v>3</v>
      </c>
      <c r="E5" s="162" t="s">
        <v>4</v>
      </c>
      <c r="F5" s="162" t="s">
        <v>5</v>
      </c>
      <c r="G5" s="162" t="s">
        <v>6</v>
      </c>
      <c r="H5" s="162" t="s">
        <v>7</v>
      </c>
      <c r="I5" s="162" t="s">
        <v>8</v>
      </c>
      <c r="J5" s="162" t="s">
        <v>9</v>
      </c>
      <c r="K5" s="162" t="s">
        <v>10</v>
      </c>
      <c r="L5" s="162" t="s">
        <v>11</v>
      </c>
      <c r="M5" s="162" t="s">
        <v>12</v>
      </c>
      <c r="N5" s="162" t="s">
        <v>120</v>
      </c>
      <c r="O5" s="162" t="s">
        <v>13</v>
      </c>
      <c r="P5" s="162" t="s">
        <v>14</v>
      </c>
      <c r="Q5" s="153"/>
      <c r="R5" s="153"/>
    </row>
    <row r="6" spans="1:18" ht="15">
      <c r="A6" s="333" t="s">
        <v>0</v>
      </c>
      <c r="B6" s="309"/>
      <c r="C6" s="139">
        <v>130000</v>
      </c>
      <c r="D6" s="139">
        <v>173000</v>
      </c>
      <c r="E6" s="139">
        <v>173000</v>
      </c>
      <c r="F6" s="139">
        <v>100000</v>
      </c>
      <c r="G6" s="139">
        <v>100000</v>
      </c>
      <c r="H6" s="139">
        <v>100000</v>
      </c>
      <c r="I6" s="139">
        <v>130000</v>
      </c>
      <c r="J6" s="139"/>
      <c r="K6" s="139"/>
      <c r="L6" s="139"/>
      <c r="M6" s="139"/>
      <c r="N6" s="9"/>
      <c r="O6" s="139">
        <v>0</v>
      </c>
      <c r="P6" s="164">
        <f aca="true" t="shared" si="0" ref="P6:P16">+SUM(C6:O6)</f>
        <v>906000</v>
      </c>
      <c r="Q6" s="153"/>
      <c r="R6" s="153"/>
    </row>
    <row r="7" spans="1:18" ht="15">
      <c r="A7" s="328" t="s">
        <v>98</v>
      </c>
      <c r="B7" s="304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64">
        <f t="shared" si="0"/>
        <v>0</v>
      </c>
      <c r="Q7" s="153"/>
      <c r="R7" s="153"/>
    </row>
    <row r="8" spans="1:18" ht="15">
      <c r="A8" s="328" t="s">
        <v>112</v>
      </c>
      <c r="B8" s="304"/>
      <c r="C8" s="12"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64">
        <f t="shared" si="0"/>
        <v>0</v>
      </c>
      <c r="Q8" s="153"/>
      <c r="R8" s="153"/>
    </row>
    <row r="9" spans="1:18" ht="15">
      <c r="A9" s="328" t="s">
        <v>119</v>
      </c>
      <c r="B9" s="304"/>
      <c r="C9" s="12">
        <v>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64">
        <f t="shared" si="0"/>
        <v>0</v>
      </c>
      <c r="Q9" s="153"/>
      <c r="R9" s="153"/>
    </row>
    <row r="10" spans="1:18" s="2" customFormat="1" ht="15">
      <c r="A10" s="328" t="s">
        <v>113</v>
      </c>
      <c r="B10" s="304"/>
      <c r="C10" s="12"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64">
        <f t="shared" si="0"/>
        <v>0</v>
      </c>
      <c r="Q10" s="153"/>
      <c r="R10" s="153"/>
    </row>
    <row r="11" spans="1:18" s="2" customFormat="1" ht="15">
      <c r="A11" s="328" t="s">
        <v>181</v>
      </c>
      <c r="B11" s="304"/>
      <c r="C11" s="12">
        <v>1000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>
        <v>0</v>
      </c>
      <c r="P11" s="164">
        <f t="shared" si="0"/>
        <v>1000</v>
      </c>
      <c r="Q11" s="154"/>
      <c r="R11" s="154"/>
    </row>
    <row r="12" spans="1:18" s="2" customFormat="1" ht="15">
      <c r="A12" s="328" t="s">
        <v>25</v>
      </c>
      <c r="B12" s="304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64">
        <f t="shared" si="0"/>
        <v>0</v>
      </c>
      <c r="Q12" s="153"/>
      <c r="R12" s="154"/>
    </row>
    <row r="13" spans="1:18" s="2" customFormat="1" ht="15">
      <c r="A13" s="328" t="s">
        <v>26</v>
      </c>
      <c r="B13" s="304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64">
        <f t="shared" si="0"/>
        <v>0</v>
      </c>
      <c r="Q13" s="153"/>
      <c r="R13" s="154"/>
    </row>
    <row r="14" spans="1:18" s="2" customFormat="1" ht="15">
      <c r="A14" s="328" t="s">
        <v>182</v>
      </c>
      <c r="B14" s="304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64">
        <f t="shared" si="0"/>
        <v>0</v>
      </c>
      <c r="Q14" s="153"/>
      <c r="R14" s="154"/>
    </row>
    <row r="15" spans="1:18" s="2" customFormat="1" ht="15">
      <c r="A15" s="328" t="s">
        <v>24</v>
      </c>
      <c r="B15" s="304"/>
      <c r="C15" s="12">
        <f aca="true" t="shared" si="1" ref="C15:N15">+ROUND(C14/12,2)</f>
        <v>0</v>
      </c>
      <c r="D15" s="12">
        <f t="shared" si="1"/>
        <v>0</v>
      </c>
      <c r="E15" s="12">
        <f t="shared" si="1"/>
        <v>0</v>
      </c>
      <c r="F15" s="12">
        <f t="shared" si="1"/>
        <v>0</v>
      </c>
      <c r="G15" s="12">
        <f t="shared" si="1"/>
        <v>0</v>
      </c>
      <c r="H15" s="12">
        <f t="shared" si="1"/>
        <v>0</v>
      </c>
      <c r="I15" s="12">
        <f t="shared" si="1"/>
        <v>0</v>
      </c>
      <c r="J15" s="12">
        <f t="shared" si="1"/>
        <v>0</v>
      </c>
      <c r="K15" s="12">
        <f t="shared" si="1"/>
        <v>0</v>
      </c>
      <c r="L15" s="12">
        <f t="shared" si="1"/>
        <v>0</v>
      </c>
      <c r="M15" s="12">
        <f t="shared" si="1"/>
        <v>0</v>
      </c>
      <c r="N15" s="12">
        <f t="shared" si="1"/>
        <v>0</v>
      </c>
      <c r="O15" s="12">
        <v>0</v>
      </c>
      <c r="P15" s="164">
        <f t="shared" si="0"/>
        <v>0</v>
      </c>
      <c r="Q15" s="153"/>
      <c r="R15" s="153"/>
    </row>
    <row r="16" spans="1:18" s="2" customFormat="1" ht="15">
      <c r="A16" s="328" t="s">
        <v>123</v>
      </c>
      <c r="B16" s="304"/>
      <c r="C16" s="12"/>
      <c r="D16" s="12"/>
      <c r="E16" s="12"/>
      <c r="F16" s="12"/>
      <c r="G16" s="12"/>
      <c r="H16" s="12">
        <f>+E6/2</f>
        <v>86500</v>
      </c>
      <c r="I16" s="12"/>
      <c r="J16" s="12"/>
      <c r="K16" s="12"/>
      <c r="L16" s="12"/>
      <c r="M16" s="12"/>
      <c r="N16" s="12">
        <f>+M6/2</f>
        <v>0</v>
      </c>
      <c r="O16" s="12">
        <v>0</v>
      </c>
      <c r="P16" s="164">
        <f t="shared" si="0"/>
        <v>86500</v>
      </c>
      <c r="Q16" s="153"/>
      <c r="R16" s="153"/>
    </row>
    <row r="17" spans="1:18" s="2" customFormat="1" ht="15">
      <c r="A17" s="328" t="s">
        <v>183</v>
      </c>
      <c r="B17" s="304"/>
      <c r="C17" s="12">
        <f>+ROUND(C11/12,2)</f>
        <v>83.33</v>
      </c>
      <c r="D17" s="12">
        <f aca="true" t="shared" si="2" ref="D17:N17">+ROUND(D11/12,2)</f>
        <v>0</v>
      </c>
      <c r="E17" s="12">
        <f t="shared" si="2"/>
        <v>0</v>
      </c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2"/>
        <v>0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v>0</v>
      </c>
      <c r="P17" s="164">
        <f>+SUM(C17:O17)</f>
        <v>83.33</v>
      </c>
      <c r="Q17" s="153"/>
      <c r="R17" s="153"/>
    </row>
    <row r="18" spans="1:18" s="2" customFormat="1" ht="15">
      <c r="A18" s="328"/>
      <c r="B18" s="304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64">
        <f aca="true" t="shared" si="3" ref="P18:P24">+SUM(C18:O18)</f>
        <v>0</v>
      </c>
      <c r="Q18" s="153"/>
      <c r="R18" s="153"/>
    </row>
    <row r="19" spans="1:18" s="2" customFormat="1" ht="15">
      <c r="A19" s="328" t="s">
        <v>1</v>
      </c>
      <c r="B19" s="304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64">
        <f t="shared" si="3"/>
        <v>0</v>
      </c>
      <c r="Q19" s="153"/>
      <c r="R19" s="153"/>
    </row>
    <row r="20" spans="1:18" s="2" customFormat="1" ht="15">
      <c r="A20" s="328" t="s">
        <v>1</v>
      </c>
      <c r="B20" s="304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64">
        <f t="shared" si="3"/>
        <v>0</v>
      </c>
      <c r="Q20" s="153"/>
      <c r="R20" s="153"/>
    </row>
    <row r="21" spans="1:18" s="2" customFormat="1" ht="15">
      <c r="A21" s="328" t="s">
        <v>1</v>
      </c>
      <c r="B21" s="304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64">
        <f t="shared" si="3"/>
        <v>0</v>
      </c>
      <c r="Q21" s="153"/>
      <c r="R21" s="153"/>
    </row>
    <row r="22" spans="1:18" s="2" customFormat="1" ht="15">
      <c r="A22" s="328">
        <f>+""</f>
      </c>
      <c r="B22" s="304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64">
        <f t="shared" si="3"/>
        <v>0</v>
      </c>
      <c r="Q22" s="153"/>
      <c r="R22" s="153"/>
    </row>
    <row r="23" spans="1:18" s="2" customFormat="1" ht="15">
      <c r="A23" s="328" t="s">
        <v>184</v>
      </c>
      <c r="B23" s="304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64">
        <f t="shared" si="3"/>
        <v>0</v>
      </c>
      <c r="Q23" s="153"/>
      <c r="R23" s="153"/>
    </row>
    <row r="24" spans="1:18" s="2" customFormat="1" ht="15">
      <c r="A24" s="328"/>
      <c r="B24" s="304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64">
        <f t="shared" si="3"/>
        <v>0</v>
      </c>
      <c r="Q24" s="153"/>
      <c r="R24" s="153"/>
    </row>
    <row r="25" spans="1:18" s="2" customFormat="1" ht="15">
      <c r="A25" s="328" t="s">
        <v>180</v>
      </c>
      <c r="B25" s="304"/>
      <c r="C25" s="12">
        <f>+IF(C11&gt;0,IF(C125&gt;300000,0,IF(C11&gt;($N$245*0.4),-($N$245*0.4),-C11)),0)</f>
        <v>-1000</v>
      </c>
      <c r="D25" s="12">
        <f>+IF(D125&gt;300000,0,IF(D11&gt;($N$245*0.4)+SUM($C$25:C25),-($N$245*0.4)-SUM($C$25:C25),-D11))</f>
        <v>0</v>
      </c>
      <c r="E25" s="12">
        <f>+IF(E125&gt;300000,0,IF(E11&gt;($N$245*0.4)+SUM($C$25:D25),-($N$245*0.4)-SUM($C$25:D25),-E11))</f>
        <v>0</v>
      </c>
      <c r="F25" s="12">
        <f>+IF(F125&gt;300000,0,IF(F11&gt;($N$245*0.4)+SUM($C$25:E25),-($N$245*0.4)-SUM($C$25:E25),-F11))</f>
        <v>0</v>
      </c>
      <c r="G25" s="12">
        <f>+IF(G125&gt;300000,0,IF(G11&gt;($N$245*0.4)+SUM($C$25:F25),-($N$245*0.4)-SUM($C$25:F25),-G11))</f>
        <v>0</v>
      </c>
      <c r="H25" s="12">
        <f>+IF(H125&gt;300000,0,IF(H11&gt;($N$245*0.4)+SUM($C$25:G25),-($N$245*0.4)-SUM($C$25:G25),-H11))</f>
        <v>0</v>
      </c>
      <c r="I25" s="12">
        <f>+IF(I125&gt;300000,0,IF(I11&gt;($N$245*0.4)+SUM($C$25:H25),-($N$245*0.4)-SUM($C$25:H25),-I11))</f>
        <v>0</v>
      </c>
      <c r="J25" s="12">
        <f>+IF(J125&gt;300000,0,IF(J11&gt;($N$245*0.4)+SUM($C$25:I25),-($N$245*0.4)-SUM($C$25:I25),-J11))</f>
        <v>0</v>
      </c>
      <c r="K25" s="12">
        <f>+IF(K125&gt;300000,0,IF(K11&gt;($N$245*0.4)+SUM($C$25:J25),-($N$245*0.4)-SUM($C$25:J25),-K11))</f>
        <v>0</v>
      </c>
      <c r="L25" s="12">
        <f>+IF(L125&gt;300000,0,IF(L11&gt;($N$245*0.4)+SUM($C$25:K25),-($N$245*0.4)-SUM($C$25:K25),-L11))</f>
        <v>0</v>
      </c>
      <c r="M25" s="12">
        <f>+IF(M125&gt;300000,0,IF(M11&gt;($N$245*0.4)+SUM($C$25:L25),-($N$245*0.4)-SUM($C$25:L25),-M11))</f>
        <v>0</v>
      </c>
      <c r="N25" s="12"/>
      <c r="O25" s="12">
        <f>+IF(N125&gt;300000,-SUM(C25:N25),IF(O11&gt;($N$245*0.4)+SUM($C$25:N25),-($N$245*0.4)-SUM($C$25:N25),-O11))</f>
        <v>0</v>
      </c>
      <c r="P25" s="164">
        <f>+SUM(C25:O25)</f>
        <v>-1000</v>
      </c>
      <c r="Q25" s="153"/>
      <c r="R25" s="153"/>
    </row>
    <row r="26" spans="1:18" s="2" customFormat="1" ht="15">
      <c r="A26" s="328" t="s">
        <v>179</v>
      </c>
      <c r="B26" s="304"/>
      <c r="C26" s="12">
        <f>+IF(C125&gt;150000,0,IF(SUM(C15:C17)&gt;(75000),-(75000),-SUM(C15:C17)))</f>
        <v>-83.33</v>
      </c>
      <c r="D26" s="12">
        <f>IF(SUM(D15:D17)&gt;0,IF(D125&gt;150000,0,IF(SUM($C$15:D17)&gt;(75000),-75000-SUM($C$26:C26),-SUM(D15:D17))),0)</f>
        <v>0</v>
      </c>
      <c r="E26" s="12">
        <f>IF(SUM(E15:E17)&gt;0,IF(E125&gt;150000,0,IF(SUM($C$15:E17)&gt;(75000),-75000-SUM($C$26:D26),-SUM(E15:E17))),0)</f>
        <v>0</v>
      </c>
      <c r="F26" s="12">
        <f>IF(SUM(F15:F17)&gt;0,IF(F125&gt;150000,0,IF(SUM($C$15:F17)&gt;(75000),-75000-SUM($C$26:E26),-SUM(F15:F17))),0)</f>
        <v>0</v>
      </c>
      <c r="G26" s="12">
        <f>IF(SUM(G15:G17)&gt;0,IF(G125&gt;150000,0,IF(SUM($C$15:G17)&gt;(75000),-75000-SUM($C$26:F26),-SUM(G15:G17))),0)</f>
        <v>0</v>
      </c>
      <c r="H26" s="12">
        <f>IF(SUM(H15:H17)&gt;0,IF(H125&gt;150000,0,IF(SUM($C$15:H17)&gt;(75000),-75000-SUM($C$26:G26),-SUM(H15:H17))),0)</f>
        <v>-74916.67</v>
      </c>
      <c r="I26" s="12">
        <f>IF(SUM(I15:I17)&gt;0,IF(H125&gt;150000,0,IF(SUM($I$15:I17)&gt;(75000),-75000,-SUM(I15:I17))),0)</f>
        <v>0</v>
      </c>
      <c r="J26" s="12">
        <f>IF(SUM(J15:J17)&gt;0,IF(I125&gt;150000,0,IF(SUM($I$15:J17)&gt;(75000)+SUM($I$26:I26),-75000-SUM($I$26:I26),-SUM(J15:J17))),0)</f>
        <v>0</v>
      </c>
      <c r="K26" s="12">
        <f>IF(SUM(K15:K17)&gt;0,IF(J125&gt;150000,0,IF(SUM($I$15:K17)&gt;(75000),-75000,-SUM(K15:K17))),0)</f>
        <v>0</v>
      </c>
      <c r="L26" s="12">
        <f>IF(SUM(L15:L17)&gt;0,IF(K125&gt;150000,0,IF(SUM($I$15:L17)&gt;(75000),-75000,-SUM(L15:L17))),0)</f>
        <v>0</v>
      </c>
      <c r="M26" s="12">
        <f>IF(SUM(M15:M17)&gt;0,IF(L125&gt;150000,0,IF(SUM($I$15:M17)&gt;(75000),-75000,-SUM(M15:M17))),0)</f>
        <v>0</v>
      </c>
      <c r="N26" s="12">
        <f>IF(SUM(N15:N17)&gt;0,IF(M125&gt;150000,-SUM($C$26:M26),IF(SUM($I$15:N17)&gt;(75000),-75000-SUM($I$26:M26),-SUM(N15:N17))),0)</f>
        <v>0</v>
      </c>
      <c r="O26" s="12">
        <f>IF(F1=12,IF(N125&gt;150000,-SUM($C$26:N26),IF(SUM($I$15:O17)&gt;(75000),-75000-SUM($I$26:N26),-SUM(O15:O17))),0)</f>
        <v>0</v>
      </c>
      <c r="P26" s="164">
        <f>+SUM(C26:O26)</f>
        <v>-75000</v>
      </c>
      <c r="Q26" s="153"/>
      <c r="R26" s="153"/>
    </row>
    <row r="27" spans="1:18" s="2" customFormat="1" ht="15">
      <c r="A27" s="328" t="s">
        <v>28</v>
      </c>
      <c r="B27" s="304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64">
        <f>+SUM(C27:O27)</f>
        <v>0</v>
      </c>
      <c r="Q27" s="153"/>
      <c r="R27" s="153"/>
    </row>
    <row r="28" spans="1:18" s="2" customFormat="1" ht="15">
      <c r="A28" s="328" t="s">
        <v>140</v>
      </c>
      <c r="B28" s="304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64">
        <f>+SUM(C28:O28)</f>
        <v>0</v>
      </c>
      <c r="Q28" s="153"/>
      <c r="R28" s="153"/>
    </row>
    <row r="29" spans="1:18" s="2" customFormat="1" ht="15.75" thickBot="1">
      <c r="A29" s="328"/>
      <c r="B29" s="304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64">
        <f>+SUM(C29:O29)</f>
        <v>0</v>
      </c>
      <c r="Q29" s="153"/>
      <c r="R29" s="153"/>
    </row>
    <row r="30" spans="1:18" s="2" customFormat="1" ht="15.75" thickBot="1">
      <c r="A30" s="329" t="s">
        <v>108</v>
      </c>
      <c r="B30" s="330"/>
      <c r="C30" s="165">
        <f>+ROUND((SUM(C6:C13))/12,2)</f>
        <v>10916.67</v>
      </c>
      <c r="D30" s="165">
        <f>+ROUND((SUM(D6:D13)-D11)/12,2)</f>
        <v>14416.67</v>
      </c>
      <c r="E30" s="165">
        <f>+ROUND((SUM(E6:E13)-E11)/12,2)</f>
        <v>14416.67</v>
      </c>
      <c r="F30" s="165">
        <f>+ROUND((SUM(F6:F13)-F11)/12,2)</f>
        <v>8333.33</v>
      </c>
      <c r="G30" s="165">
        <f>+ROUND((SUM(G6:G13)-G11)/12,2)</f>
        <v>8333.33</v>
      </c>
      <c r="H30" s="165">
        <f>+IF($F$1&gt;5,-SUM(C30:G30),0)</f>
        <v>-56416.670000000006</v>
      </c>
      <c r="I30" s="165">
        <f>+ROUND((SUM(I6:I13)-I11)/12,2)</f>
        <v>10833.33</v>
      </c>
      <c r="J30" s="165">
        <f>+ROUND((SUM(J6:J13)-J11)/12,2)</f>
        <v>0</v>
      </c>
      <c r="K30" s="165">
        <f>+ROUND((SUM(K6:K13)-K11)/12,2)</f>
        <v>0</v>
      </c>
      <c r="L30" s="165">
        <f>+ROUND((SUM(L6:L13)-L11)/12,2)</f>
        <v>0</v>
      </c>
      <c r="M30" s="165">
        <f>+ROUND((SUM(M6:M13)-M11)/12,2)</f>
        <v>0</v>
      </c>
      <c r="N30" s="165">
        <f>+IF($F$1=12,-SUM(C30:M30),0)</f>
        <v>0</v>
      </c>
      <c r="O30" s="165"/>
      <c r="P30" s="165">
        <f>+SUM(C30:O30)</f>
        <v>10833.33</v>
      </c>
      <c r="Q30" s="153"/>
      <c r="R30" s="153"/>
    </row>
    <row r="31" spans="1:18" s="2" customFormat="1" ht="15.75" thickBot="1">
      <c r="A31" s="329" t="s">
        <v>116</v>
      </c>
      <c r="B31" s="330"/>
      <c r="C31" s="167">
        <f>-(SUM(C34:C36)+C38)/12</f>
        <v>-2075.4860583333334</v>
      </c>
      <c r="D31" s="167">
        <f>-(SUM(D34:D36)+D38)/12</f>
        <v>-2739.1666666666665</v>
      </c>
      <c r="E31" s="167">
        <f>-(SUM(E34:E36)+E38)/12</f>
        <v>-2739.1666666666665</v>
      </c>
      <c r="F31" s="167">
        <f>-(SUM(F34:F36)+F38)/12</f>
        <v>-1583.3333333333333</v>
      </c>
      <c r="G31" s="167">
        <f aca="true" t="shared" si="4" ref="G31:M31">-(SUM(G34:G36)+G38)/12</f>
        <v>-1583.3333333333333</v>
      </c>
      <c r="H31" s="165">
        <f>+IF($F$1&gt;5,-SUM(C31:G31),0)</f>
        <v>10720.486058333334</v>
      </c>
      <c r="I31" s="167">
        <f>-(SUM(I34:I36)+I38)/12</f>
        <v>-2058.3333333333335</v>
      </c>
      <c r="J31" s="167">
        <f t="shared" si="4"/>
        <v>0</v>
      </c>
      <c r="K31" s="167">
        <f t="shared" si="4"/>
        <v>0</v>
      </c>
      <c r="L31" s="167">
        <f t="shared" si="4"/>
        <v>0</v>
      </c>
      <c r="M31" s="167">
        <f t="shared" si="4"/>
        <v>0</v>
      </c>
      <c r="N31" s="165">
        <f>+IF($F$1=12,-SUM(C31:M31),0)</f>
        <v>0</v>
      </c>
      <c r="O31" s="165"/>
      <c r="P31" s="165">
        <f>+SUM(C31:O31)</f>
        <v>-2058.3333333333335</v>
      </c>
      <c r="Q31" s="153"/>
      <c r="R31" s="153"/>
    </row>
    <row r="32" spans="1:18" s="2" customFormat="1" ht="15.75" thickBot="1">
      <c r="A32" s="329" t="s">
        <v>93</v>
      </c>
      <c r="B32" s="330"/>
      <c r="C32" s="166">
        <f>+ROUND(SUM(C6:C27),2)</f>
        <v>130000</v>
      </c>
      <c r="D32" s="166">
        <f aca="true" t="shared" si="5" ref="D32:K32">+SUM(D6:D23)</f>
        <v>173000</v>
      </c>
      <c r="E32" s="166">
        <f t="shared" si="5"/>
        <v>173000</v>
      </c>
      <c r="F32" s="166">
        <f t="shared" si="5"/>
        <v>100000</v>
      </c>
      <c r="G32" s="166">
        <f t="shared" si="5"/>
        <v>100000</v>
      </c>
      <c r="H32" s="166">
        <f t="shared" si="5"/>
        <v>186500</v>
      </c>
      <c r="I32" s="166">
        <f t="shared" si="5"/>
        <v>130000</v>
      </c>
      <c r="J32" s="166">
        <f t="shared" si="5"/>
        <v>0</v>
      </c>
      <c r="K32" s="166">
        <f t="shared" si="5"/>
        <v>0</v>
      </c>
      <c r="L32" s="166">
        <f>+SUM(L6:L28)</f>
        <v>0</v>
      </c>
      <c r="M32" s="166">
        <f>+SUM(M6:M23)</f>
        <v>0</v>
      </c>
      <c r="N32" s="166">
        <f>+SUM(N6:N23)</f>
        <v>0</v>
      </c>
      <c r="O32" s="166">
        <f>+SUM(O6:O23)</f>
        <v>0</v>
      </c>
      <c r="P32" s="166">
        <f>+SUM(P6:P23)</f>
        <v>993583.33</v>
      </c>
      <c r="Q32" s="153"/>
      <c r="R32" s="153"/>
    </row>
    <row r="33" spans="1:18" s="2" customFormat="1" ht="12.75" thickBo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</row>
    <row r="34" spans="1:18" s="2" customFormat="1" ht="15.75" thickBot="1">
      <c r="A34" s="328" t="s">
        <v>15</v>
      </c>
      <c r="B34" s="304"/>
      <c r="C34" s="9">
        <f>+C55*11%</f>
        <v>14419.166299999999</v>
      </c>
      <c r="D34" s="9">
        <f aca="true" t="shared" si="6" ref="D34:O34">+D55*11%</f>
        <v>19030</v>
      </c>
      <c r="E34" s="9">
        <f>+E55*11%</f>
        <v>19030</v>
      </c>
      <c r="F34" s="9">
        <f t="shared" si="6"/>
        <v>11000</v>
      </c>
      <c r="G34" s="9">
        <f t="shared" si="6"/>
        <v>11000</v>
      </c>
      <c r="H34" s="9">
        <f t="shared" si="6"/>
        <v>20515</v>
      </c>
      <c r="I34" s="9">
        <f t="shared" si="6"/>
        <v>14300</v>
      </c>
      <c r="J34" s="9">
        <f t="shared" si="6"/>
        <v>0</v>
      </c>
      <c r="K34" s="9">
        <f t="shared" si="6"/>
        <v>0</v>
      </c>
      <c r="L34" s="9">
        <f t="shared" si="6"/>
        <v>0</v>
      </c>
      <c r="M34" s="9">
        <f t="shared" si="6"/>
        <v>0</v>
      </c>
      <c r="N34" s="9">
        <f t="shared" si="6"/>
        <v>0</v>
      </c>
      <c r="O34" s="9">
        <f t="shared" si="6"/>
        <v>0</v>
      </c>
      <c r="P34" s="10">
        <f>+SUM(C34:O34)</f>
        <v>109294.1663</v>
      </c>
      <c r="Q34" s="153"/>
      <c r="R34" s="153"/>
    </row>
    <row r="35" spans="1:18" s="2" customFormat="1" ht="15.75" thickBot="1">
      <c r="A35" s="328" t="s">
        <v>19</v>
      </c>
      <c r="B35" s="304"/>
      <c r="C35" s="12">
        <f>+C34/11*3</f>
        <v>3932.4999</v>
      </c>
      <c r="D35" s="12">
        <f aca="true" t="shared" si="7" ref="D35:O35">+D34/11*3</f>
        <v>5190</v>
      </c>
      <c r="E35" s="12">
        <f t="shared" si="7"/>
        <v>5190</v>
      </c>
      <c r="F35" s="12">
        <f t="shared" si="7"/>
        <v>3000</v>
      </c>
      <c r="G35" s="12">
        <f t="shared" si="7"/>
        <v>3000</v>
      </c>
      <c r="H35" s="12">
        <f t="shared" si="7"/>
        <v>5595</v>
      </c>
      <c r="I35" s="12">
        <f t="shared" si="7"/>
        <v>3900</v>
      </c>
      <c r="J35" s="12">
        <f t="shared" si="7"/>
        <v>0</v>
      </c>
      <c r="K35" s="12">
        <f t="shared" si="7"/>
        <v>0</v>
      </c>
      <c r="L35" s="12">
        <f t="shared" si="7"/>
        <v>0</v>
      </c>
      <c r="M35" s="12">
        <f t="shared" si="7"/>
        <v>0</v>
      </c>
      <c r="N35" s="12">
        <f t="shared" si="7"/>
        <v>0</v>
      </c>
      <c r="O35" s="12">
        <f t="shared" si="7"/>
        <v>0</v>
      </c>
      <c r="P35" s="10">
        <f aca="true" t="shared" si="8" ref="P35:P41">+SUM(C35:O35)</f>
        <v>29807.4999</v>
      </c>
      <c r="Q35" s="153"/>
      <c r="R35" s="153"/>
    </row>
    <row r="36" spans="1:18" s="2" customFormat="1" ht="15.75" thickBot="1">
      <c r="A36" s="328" t="s">
        <v>20</v>
      </c>
      <c r="B36" s="304"/>
      <c r="C36" s="12">
        <f>+C35</f>
        <v>3932.4999</v>
      </c>
      <c r="D36" s="12">
        <f aca="true" t="shared" si="9" ref="D36:O36">+D35</f>
        <v>5190</v>
      </c>
      <c r="E36" s="12">
        <f t="shared" si="9"/>
        <v>5190</v>
      </c>
      <c r="F36" s="12">
        <f t="shared" si="9"/>
        <v>3000</v>
      </c>
      <c r="G36" s="12">
        <f t="shared" si="9"/>
        <v>3000</v>
      </c>
      <c r="H36" s="12">
        <f t="shared" si="9"/>
        <v>5595</v>
      </c>
      <c r="I36" s="12">
        <f t="shared" si="9"/>
        <v>3900</v>
      </c>
      <c r="J36" s="12">
        <f t="shared" si="9"/>
        <v>0</v>
      </c>
      <c r="K36" s="12">
        <f t="shared" si="9"/>
        <v>0</v>
      </c>
      <c r="L36" s="12">
        <f t="shared" si="9"/>
        <v>0</v>
      </c>
      <c r="M36" s="12">
        <f t="shared" si="9"/>
        <v>0</v>
      </c>
      <c r="N36" s="12">
        <f t="shared" si="9"/>
        <v>0</v>
      </c>
      <c r="O36" s="12">
        <f t="shared" si="9"/>
        <v>0</v>
      </c>
      <c r="P36" s="10">
        <f t="shared" si="8"/>
        <v>29807.4999</v>
      </c>
      <c r="Q36" s="153"/>
      <c r="R36" s="153"/>
    </row>
    <row r="37" spans="1:18" s="2" customFormat="1" ht="15.75" thickBot="1">
      <c r="A37" s="328"/>
      <c r="B37" s="30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0">
        <f t="shared" si="8"/>
        <v>0</v>
      </c>
      <c r="Q37" s="153"/>
      <c r="R37" s="153"/>
    </row>
    <row r="38" spans="1:18" s="2" customFormat="1" ht="15.75" thickBot="1">
      <c r="A38" s="328" t="s">
        <v>21</v>
      </c>
      <c r="B38" s="304"/>
      <c r="C38" s="12">
        <f>+C36/3*2</f>
        <v>2621.6666</v>
      </c>
      <c r="D38" s="12">
        <f aca="true" t="shared" si="10" ref="D38:L38">+D36/3*2</f>
        <v>3460</v>
      </c>
      <c r="E38" s="12">
        <f t="shared" si="10"/>
        <v>3460</v>
      </c>
      <c r="F38" s="12">
        <f t="shared" si="10"/>
        <v>2000</v>
      </c>
      <c r="G38" s="12">
        <f t="shared" si="10"/>
        <v>2000</v>
      </c>
      <c r="H38" s="12">
        <f t="shared" si="10"/>
        <v>3730</v>
      </c>
      <c r="I38" s="12">
        <f t="shared" si="10"/>
        <v>2600</v>
      </c>
      <c r="J38" s="12">
        <f t="shared" si="10"/>
        <v>0</v>
      </c>
      <c r="K38" s="12">
        <f t="shared" si="10"/>
        <v>0</v>
      </c>
      <c r="L38" s="12">
        <f t="shared" si="10"/>
        <v>0</v>
      </c>
      <c r="M38" s="12">
        <f>+M36/3*2</f>
        <v>0</v>
      </c>
      <c r="N38" s="12">
        <f>+N36/3*2</f>
        <v>0</v>
      </c>
      <c r="O38" s="12">
        <f>+O36/3*2</f>
        <v>0</v>
      </c>
      <c r="P38" s="10">
        <f t="shared" si="8"/>
        <v>19871.6666</v>
      </c>
      <c r="Q38" s="153"/>
      <c r="R38" s="153"/>
    </row>
    <row r="39" spans="1:18" s="2" customFormat="1" ht="15.75" thickBot="1">
      <c r="A39" s="328"/>
      <c r="B39" s="304"/>
      <c r="C39" s="12">
        <f aca="true" t="shared" si="11" ref="C39:O39">+C28</f>
        <v>0</v>
      </c>
      <c r="D39" s="12">
        <f t="shared" si="11"/>
        <v>0</v>
      </c>
      <c r="E39" s="12">
        <f t="shared" si="11"/>
        <v>0</v>
      </c>
      <c r="F39" s="12">
        <f t="shared" si="11"/>
        <v>0</v>
      </c>
      <c r="G39" s="12">
        <f t="shared" si="11"/>
        <v>0</v>
      </c>
      <c r="H39" s="12">
        <f t="shared" si="11"/>
        <v>0</v>
      </c>
      <c r="I39" s="12">
        <f t="shared" si="11"/>
        <v>0</v>
      </c>
      <c r="J39" s="12">
        <f t="shared" si="11"/>
        <v>0</v>
      </c>
      <c r="K39" s="12">
        <f t="shared" si="11"/>
        <v>0</v>
      </c>
      <c r="L39" s="12">
        <f t="shared" si="11"/>
        <v>0</v>
      </c>
      <c r="M39" s="12">
        <f t="shared" si="11"/>
        <v>0</v>
      </c>
      <c r="N39" s="12">
        <f t="shared" si="11"/>
        <v>0</v>
      </c>
      <c r="O39" s="12">
        <f t="shared" si="11"/>
        <v>0</v>
      </c>
      <c r="P39" s="10">
        <f t="shared" si="8"/>
        <v>0</v>
      </c>
      <c r="Q39" s="153"/>
      <c r="R39" s="153"/>
    </row>
    <row r="40" spans="1:18" s="2" customFormat="1" ht="15.75" thickBot="1">
      <c r="A40" s="328"/>
      <c r="B40" s="304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0">
        <f t="shared" si="8"/>
        <v>0</v>
      </c>
      <c r="Q40" s="153"/>
      <c r="R40" s="153"/>
    </row>
    <row r="41" spans="1:18" s="2" customFormat="1" ht="15.75" thickBot="1">
      <c r="A41" s="328" t="s">
        <v>106</v>
      </c>
      <c r="B41" s="385"/>
      <c r="C41" s="17">
        <v>0</v>
      </c>
      <c r="D41" s="17">
        <v>2911.1</v>
      </c>
      <c r="E41" s="17">
        <v>6696.05</v>
      </c>
      <c r="F41" s="17">
        <v>-1651.78</v>
      </c>
      <c r="G41" s="17">
        <v>0</v>
      </c>
      <c r="H41" s="17">
        <v>-6470.85</v>
      </c>
      <c r="I41" s="17">
        <v>0</v>
      </c>
      <c r="J41" s="17">
        <v>0</v>
      </c>
      <c r="K41" s="17">
        <v>0</v>
      </c>
      <c r="L41" s="17">
        <v>0</v>
      </c>
      <c r="M41" s="23">
        <v>0</v>
      </c>
      <c r="N41" s="23"/>
      <c r="O41" s="23"/>
      <c r="P41" s="10">
        <f t="shared" si="8"/>
        <v>1484.5199999999995</v>
      </c>
      <c r="Q41" s="153"/>
      <c r="R41" s="153"/>
    </row>
    <row r="42" spans="1:18" s="2" customFormat="1" ht="15.75" thickBot="1">
      <c r="A42" s="329" t="s">
        <v>29</v>
      </c>
      <c r="B42" s="330"/>
      <c r="C42" s="166">
        <f>+SUM(C34:C41)</f>
        <v>24905.8327</v>
      </c>
      <c r="D42" s="166">
        <f aca="true" t="shared" si="12" ref="D42:N42">+SUM(D34:D41)</f>
        <v>35781.1</v>
      </c>
      <c r="E42" s="166">
        <f t="shared" si="12"/>
        <v>39566.05</v>
      </c>
      <c r="F42" s="166">
        <f t="shared" si="12"/>
        <v>17348.22</v>
      </c>
      <c r="G42" s="166">
        <f t="shared" si="12"/>
        <v>19000</v>
      </c>
      <c r="H42" s="166">
        <f t="shared" si="12"/>
        <v>28964.15</v>
      </c>
      <c r="I42" s="166">
        <f t="shared" si="12"/>
        <v>24700</v>
      </c>
      <c r="J42" s="166">
        <f t="shared" si="12"/>
        <v>0</v>
      </c>
      <c r="K42" s="166">
        <f t="shared" si="12"/>
        <v>0</v>
      </c>
      <c r="L42" s="166">
        <f t="shared" si="12"/>
        <v>0</v>
      </c>
      <c r="M42" s="166">
        <f t="shared" si="12"/>
        <v>0</v>
      </c>
      <c r="N42" s="166">
        <f t="shared" si="12"/>
        <v>0</v>
      </c>
      <c r="O42" s="166">
        <f>+SUM(O34:O41)</f>
        <v>0</v>
      </c>
      <c r="P42" s="166">
        <f>+SUM(C42:N42)</f>
        <v>190265.3527</v>
      </c>
      <c r="Q42" s="153"/>
      <c r="R42" s="153"/>
    </row>
    <row r="43" spans="1:18" s="2" customFormat="1" ht="12.75" thickBot="1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4"/>
      <c r="Q43" s="153"/>
      <c r="R43" s="153"/>
    </row>
    <row r="44" spans="1:18" s="2" customFormat="1" ht="15.75" thickBot="1">
      <c r="A44" s="329" t="s">
        <v>30</v>
      </c>
      <c r="B44" s="330"/>
      <c r="C44" s="166">
        <f aca="true" t="shared" si="13" ref="C44:O44">+ROUND(C32-C42,2)</f>
        <v>105094.17</v>
      </c>
      <c r="D44" s="166">
        <f t="shared" si="13"/>
        <v>137218.9</v>
      </c>
      <c r="E44" s="166">
        <f t="shared" si="13"/>
        <v>133433.95</v>
      </c>
      <c r="F44" s="166">
        <f t="shared" si="13"/>
        <v>82651.78</v>
      </c>
      <c r="G44" s="166">
        <f t="shared" si="13"/>
        <v>81000</v>
      </c>
      <c r="H44" s="166">
        <f t="shared" si="13"/>
        <v>157535.85</v>
      </c>
      <c r="I44" s="166">
        <f t="shared" si="13"/>
        <v>105300</v>
      </c>
      <c r="J44" s="166">
        <f t="shared" si="13"/>
        <v>0</v>
      </c>
      <c r="K44" s="166">
        <f t="shared" si="13"/>
        <v>0</v>
      </c>
      <c r="L44" s="166">
        <f t="shared" si="13"/>
        <v>0</v>
      </c>
      <c r="M44" s="166">
        <f t="shared" si="13"/>
        <v>0</v>
      </c>
      <c r="N44" s="166">
        <f t="shared" si="13"/>
        <v>0</v>
      </c>
      <c r="O44" s="166">
        <f t="shared" si="13"/>
        <v>0</v>
      </c>
      <c r="P44" s="166">
        <f>+SUM(C44:N44)</f>
        <v>802234.65</v>
      </c>
      <c r="Q44" s="153"/>
      <c r="R44" s="153"/>
    </row>
    <row r="45" spans="1:18" s="2" customFormat="1" ht="23.25">
      <c r="A45" s="155" t="s">
        <v>194</v>
      </c>
      <c r="B45" s="155"/>
      <c r="C45" s="156">
        <f>+IF($F$1=C4,$O$213,0)</f>
        <v>0</v>
      </c>
      <c r="D45" s="156">
        <f>+IF($F$1=D4,$O$213,0)</f>
        <v>0</v>
      </c>
      <c r="E45" s="156">
        <f>+IF($F$1=E4,$O$213,0)</f>
        <v>0</v>
      </c>
      <c r="F45" s="156">
        <f>+IF($F$1=F4,$O$213,0)</f>
        <v>0</v>
      </c>
      <c r="G45" s="156">
        <f>+IF($F$1=G4,$O$213,0)</f>
        <v>0</v>
      </c>
      <c r="H45" s="156">
        <f>+IF($F$1=H4,$O$213,0)</f>
        <v>0</v>
      </c>
      <c r="I45" s="156">
        <f>+IF($F$1=I4,$O$213,0)</f>
        <v>4.547473508864641E-13</v>
      </c>
      <c r="J45" s="156">
        <f>+IF($F$1=J4,$O$213,0)</f>
        <v>0</v>
      </c>
      <c r="K45" s="156">
        <f>+IF($F$1=K4,$O$213,0)</f>
        <v>0</v>
      </c>
      <c r="L45" s="156">
        <f>+IF($F$1=L4,$O$213,0)</f>
        <v>0</v>
      </c>
      <c r="M45" s="156">
        <f>+IF($F$1=M4,$O$213,0)</f>
        <v>0</v>
      </c>
      <c r="N45" s="156">
        <f>+IF($F$1=N4,$O$213,0)</f>
        <v>0</v>
      </c>
      <c r="O45" s="154"/>
      <c r="P45" s="154"/>
      <c r="Q45" s="153"/>
      <c r="R45" s="153"/>
    </row>
    <row r="46" spans="1:18" s="2" customFormat="1" ht="12.75" thickBot="1">
      <c r="A46" s="153"/>
      <c r="B46" s="153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3"/>
      <c r="Q46" s="153"/>
      <c r="R46" s="153"/>
    </row>
    <row r="47" spans="1:18" s="2" customFormat="1" ht="15.75" thickBot="1">
      <c r="A47" s="329" t="s">
        <v>16</v>
      </c>
      <c r="B47" s="330"/>
      <c r="C47" s="160">
        <v>208357.3</v>
      </c>
      <c r="D47" s="160">
        <f>+C47</f>
        <v>208357.3</v>
      </c>
      <c r="E47" s="160">
        <v>225171.69</v>
      </c>
      <c r="F47" s="160">
        <f aca="true" t="shared" si="14" ref="F47:O47">+E47</f>
        <v>225171.69</v>
      </c>
      <c r="G47" s="160">
        <f t="shared" si="14"/>
        <v>225171.69</v>
      </c>
      <c r="H47" s="160">
        <v>252462.5</v>
      </c>
      <c r="I47" s="160">
        <f t="shared" si="14"/>
        <v>252462.5</v>
      </c>
      <c r="J47" s="160">
        <f t="shared" si="14"/>
        <v>252462.5</v>
      </c>
      <c r="K47" s="160">
        <v>252462.5</v>
      </c>
      <c r="L47" s="160">
        <f t="shared" si="14"/>
        <v>252462.5</v>
      </c>
      <c r="M47" s="160">
        <f t="shared" si="14"/>
        <v>252462.5</v>
      </c>
      <c r="N47" s="160">
        <v>252462.5</v>
      </c>
      <c r="O47" s="160">
        <f t="shared" si="14"/>
        <v>252462.5</v>
      </c>
      <c r="P47" s="154"/>
      <c r="Q47" s="153"/>
      <c r="R47" s="153"/>
    </row>
    <row r="48" spans="1:18" s="2" customFormat="1" ht="15">
      <c r="A48" s="322" t="s">
        <v>17</v>
      </c>
      <c r="B48" s="323"/>
      <c r="C48" s="237">
        <f>30-C49</f>
        <v>30</v>
      </c>
      <c r="D48" s="237">
        <f aca="true" t="shared" si="15" ref="D48:O48">30-D49</f>
        <v>30</v>
      </c>
      <c r="E48" s="237">
        <f t="shared" si="15"/>
        <v>30</v>
      </c>
      <c r="F48" s="237">
        <f t="shared" si="15"/>
        <v>30</v>
      </c>
      <c r="G48" s="237">
        <f t="shared" si="15"/>
        <v>30</v>
      </c>
      <c r="H48" s="237">
        <f t="shared" si="15"/>
        <v>30</v>
      </c>
      <c r="I48" s="237">
        <f t="shared" si="15"/>
        <v>30</v>
      </c>
      <c r="J48" s="237">
        <f t="shared" si="15"/>
        <v>30</v>
      </c>
      <c r="K48" s="237">
        <f t="shared" si="15"/>
        <v>30</v>
      </c>
      <c r="L48" s="237">
        <f t="shared" si="15"/>
        <v>30</v>
      </c>
      <c r="M48" s="237">
        <f t="shared" si="15"/>
        <v>30</v>
      </c>
      <c r="N48" s="237">
        <f t="shared" si="15"/>
        <v>30</v>
      </c>
      <c r="O48" s="237">
        <f t="shared" si="15"/>
        <v>30</v>
      </c>
      <c r="P48" s="154"/>
      <c r="Q48" s="153"/>
      <c r="R48" s="153"/>
    </row>
    <row r="49" spans="1:18" s="2" customFormat="1" ht="15">
      <c r="A49" s="324" t="s">
        <v>27</v>
      </c>
      <c r="B49" s="325"/>
      <c r="C49" s="158">
        <f aca="true" t="shared" si="16" ref="C49:O49">+C3</f>
        <v>0</v>
      </c>
      <c r="D49" s="158">
        <f t="shared" si="16"/>
        <v>0</v>
      </c>
      <c r="E49" s="158">
        <f t="shared" si="16"/>
        <v>0</v>
      </c>
      <c r="F49" s="158">
        <f t="shared" si="16"/>
        <v>0</v>
      </c>
      <c r="G49" s="158">
        <f t="shared" si="16"/>
        <v>0</v>
      </c>
      <c r="H49" s="158">
        <f t="shared" si="16"/>
        <v>0</v>
      </c>
      <c r="I49" s="158">
        <f t="shared" si="16"/>
        <v>0</v>
      </c>
      <c r="J49" s="158">
        <f t="shared" si="16"/>
        <v>0</v>
      </c>
      <c r="K49" s="158">
        <f t="shared" si="16"/>
        <v>0</v>
      </c>
      <c r="L49" s="158">
        <f t="shared" si="16"/>
        <v>0</v>
      </c>
      <c r="M49" s="158">
        <f t="shared" si="16"/>
        <v>0</v>
      </c>
      <c r="N49" s="158">
        <f t="shared" si="16"/>
        <v>0</v>
      </c>
      <c r="O49" s="158">
        <f t="shared" si="16"/>
        <v>0</v>
      </c>
      <c r="P49" s="154"/>
      <c r="Q49" s="153"/>
      <c r="R49" s="153"/>
    </row>
    <row r="50" spans="1:18" s="2" customFormat="1" ht="15.75" thickBot="1">
      <c r="A50" s="326" t="s">
        <v>18</v>
      </c>
      <c r="B50" s="327"/>
      <c r="C50" s="159">
        <v>30</v>
      </c>
      <c r="D50" s="159">
        <v>60</v>
      </c>
      <c r="E50" s="159">
        <f>+D50+30</f>
        <v>90</v>
      </c>
      <c r="F50" s="159">
        <f aca="true" t="shared" si="17" ref="F50:M50">+E50+30</f>
        <v>120</v>
      </c>
      <c r="G50" s="159">
        <f t="shared" si="17"/>
        <v>150</v>
      </c>
      <c r="H50" s="159">
        <f t="shared" si="17"/>
        <v>180</v>
      </c>
      <c r="I50" s="159">
        <v>30</v>
      </c>
      <c r="J50" s="159">
        <v>60</v>
      </c>
      <c r="K50" s="159">
        <f t="shared" si="17"/>
        <v>90</v>
      </c>
      <c r="L50" s="159">
        <f t="shared" si="17"/>
        <v>120</v>
      </c>
      <c r="M50" s="159">
        <f t="shared" si="17"/>
        <v>150</v>
      </c>
      <c r="N50" s="159">
        <v>180</v>
      </c>
      <c r="O50" s="159">
        <v>180</v>
      </c>
      <c r="P50" s="153"/>
      <c r="Q50" s="153"/>
      <c r="R50" s="153"/>
    </row>
    <row r="51" spans="1:18" s="2" customFormat="1" ht="12.75" thickBot="1">
      <c r="A51" s="170"/>
      <c r="B51" s="170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</row>
    <row r="52" spans="1:18" s="2" customFormat="1" ht="15">
      <c r="A52" s="322" t="s">
        <v>101</v>
      </c>
      <c r="B52" s="323"/>
      <c r="C52" s="161">
        <f aca="true" t="shared" si="18" ref="C52:O52">+IF((SUM(C6:C11)+C13+C14)&gt;C47/30*C48,C47/30*C48,(SUM(C6:C11)+C13+C14))+C28</f>
        <v>131000</v>
      </c>
      <c r="D52" s="161">
        <f t="shared" si="18"/>
        <v>173000</v>
      </c>
      <c r="E52" s="161">
        <f t="shared" si="18"/>
        <v>173000</v>
      </c>
      <c r="F52" s="161">
        <f t="shared" si="18"/>
        <v>100000</v>
      </c>
      <c r="G52" s="161">
        <f t="shared" si="18"/>
        <v>100000</v>
      </c>
      <c r="H52" s="161">
        <f t="shared" si="18"/>
        <v>100000</v>
      </c>
      <c r="I52" s="161">
        <f t="shared" si="18"/>
        <v>130000</v>
      </c>
      <c r="J52" s="161">
        <f t="shared" si="18"/>
        <v>0</v>
      </c>
      <c r="K52" s="161">
        <f t="shared" si="18"/>
        <v>0</v>
      </c>
      <c r="L52" s="161">
        <f t="shared" si="18"/>
        <v>0</v>
      </c>
      <c r="M52" s="161">
        <f t="shared" si="18"/>
        <v>0</v>
      </c>
      <c r="N52" s="161">
        <f t="shared" si="18"/>
        <v>0</v>
      </c>
      <c r="O52" s="161">
        <f t="shared" si="18"/>
        <v>0</v>
      </c>
      <c r="P52" s="153"/>
      <c r="Q52" s="153"/>
      <c r="R52" s="153"/>
    </row>
    <row r="53" spans="1:18" s="2" customFormat="1" ht="15">
      <c r="A53" s="324" t="s">
        <v>99</v>
      </c>
      <c r="B53" s="325"/>
      <c r="C53" s="158">
        <f aca="true" t="shared" si="19" ref="C53:O53">+(IF(C12=0,0,IF(C12&gt;C47/30*C49,C47/30*C49,C12)))</f>
        <v>0</v>
      </c>
      <c r="D53" s="158">
        <f t="shared" si="19"/>
        <v>0</v>
      </c>
      <c r="E53" s="158">
        <f t="shared" si="19"/>
        <v>0</v>
      </c>
      <c r="F53" s="158">
        <f t="shared" si="19"/>
        <v>0</v>
      </c>
      <c r="G53" s="158">
        <f t="shared" si="19"/>
        <v>0</v>
      </c>
      <c r="H53" s="158">
        <f t="shared" si="19"/>
        <v>0</v>
      </c>
      <c r="I53" s="158">
        <f t="shared" si="19"/>
        <v>0</v>
      </c>
      <c r="J53" s="158">
        <f t="shared" si="19"/>
        <v>0</v>
      </c>
      <c r="K53" s="158">
        <f t="shared" si="19"/>
        <v>0</v>
      </c>
      <c r="L53" s="158">
        <f t="shared" si="19"/>
        <v>0</v>
      </c>
      <c r="M53" s="158">
        <f t="shared" si="19"/>
        <v>0</v>
      </c>
      <c r="N53" s="158">
        <f t="shared" si="19"/>
        <v>0</v>
      </c>
      <c r="O53" s="158">
        <f t="shared" si="19"/>
        <v>0</v>
      </c>
      <c r="P53" s="153"/>
      <c r="Q53" s="153"/>
      <c r="R53" s="153"/>
    </row>
    <row r="54" spans="1:18" s="2" customFormat="1" ht="15.75" thickBot="1">
      <c r="A54" s="326" t="s">
        <v>100</v>
      </c>
      <c r="B54" s="327"/>
      <c r="C54" s="159">
        <f>+IF((C15+C16+C17)&gt;C47/360*C50,C47/360*C50,C15+C16+C17)</f>
        <v>83.33</v>
      </c>
      <c r="D54" s="159">
        <f>+IF((D15+D16+D17)&gt;D47/360*D50,D47/360*D50,D15+D16+D17)</f>
        <v>0</v>
      </c>
      <c r="E54" s="159">
        <f>+IF((E15+E16+E17)&gt;E47/360*E50,E47/360*E50,E15+E16+E17)</f>
        <v>0</v>
      </c>
      <c r="F54" s="159">
        <f>+IF((F15+F16+F17)&gt;F47/360*F50,F47/360*F50,F15+F16+F17)</f>
        <v>0</v>
      </c>
      <c r="G54" s="159">
        <f>+IF((G15+G16+G17)&gt;G47/360*G50,G47/360*G50,G15+G16+G17)</f>
        <v>0</v>
      </c>
      <c r="H54" s="159">
        <f>+IF((H15+H16+H17)&gt;H47/360*H50-SUM(C54:G54),H47/360*H50-SUM(C54:G54),H15+H16+H17)</f>
        <v>86500</v>
      </c>
      <c r="I54" s="159">
        <f aca="true" t="shared" si="20" ref="I54:O54">+IF((I15+I16+I17)&gt;I47/360*I50,I47/360*I50,I15+I16+I17)</f>
        <v>0</v>
      </c>
      <c r="J54" s="159">
        <f t="shared" si="20"/>
        <v>0</v>
      </c>
      <c r="K54" s="159">
        <f t="shared" si="20"/>
        <v>0</v>
      </c>
      <c r="L54" s="159">
        <f t="shared" si="20"/>
        <v>0</v>
      </c>
      <c r="M54" s="159">
        <f t="shared" si="20"/>
        <v>0</v>
      </c>
      <c r="N54" s="159">
        <f t="shared" si="20"/>
        <v>0</v>
      </c>
      <c r="O54" s="159">
        <f t="shared" si="20"/>
        <v>0</v>
      </c>
      <c r="P54" s="153"/>
      <c r="Q54" s="153"/>
      <c r="R54" s="153"/>
    </row>
    <row r="55" spans="1:18" s="2" customFormat="1" ht="15.75" thickBot="1">
      <c r="A55" s="320" t="s">
        <v>102</v>
      </c>
      <c r="B55" s="321"/>
      <c r="C55" s="35">
        <f>+SUM(C52:C54)</f>
        <v>131083.33</v>
      </c>
      <c r="D55" s="35">
        <f aca="true" t="shared" si="21" ref="D55:N55">+SUM(D52:D54)</f>
        <v>173000</v>
      </c>
      <c r="E55" s="35">
        <f t="shared" si="21"/>
        <v>173000</v>
      </c>
      <c r="F55" s="35">
        <f t="shared" si="21"/>
        <v>100000</v>
      </c>
      <c r="G55" s="35">
        <f t="shared" si="21"/>
        <v>100000</v>
      </c>
      <c r="H55" s="35">
        <f t="shared" si="21"/>
        <v>186500</v>
      </c>
      <c r="I55" s="35">
        <f t="shared" si="21"/>
        <v>130000</v>
      </c>
      <c r="J55" s="35">
        <f t="shared" si="21"/>
        <v>0</v>
      </c>
      <c r="K55" s="35">
        <f t="shared" si="21"/>
        <v>0</v>
      </c>
      <c r="L55" s="35">
        <f t="shared" si="21"/>
        <v>0</v>
      </c>
      <c r="M55" s="35">
        <f t="shared" si="21"/>
        <v>0</v>
      </c>
      <c r="N55" s="35">
        <f t="shared" si="21"/>
        <v>0</v>
      </c>
      <c r="O55" s="35">
        <f>+SUM(O52:O54)</f>
        <v>0</v>
      </c>
      <c r="P55" s="153"/>
      <c r="Q55" s="153"/>
      <c r="R55" s="153"/>
    </row>
    <row r="56" spans="1:18" s="2" customFormat="1" ht="12.75" thickBot="1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</row>
    <row r="57" spans="1:18" s="2" customFormat="1" ht="15.75" thickBot="1">
      <c r="A57" s="320" t="s">
        <v>177</v>
      </c>
      <c r="B57" s="321" t="s">
        <v>178</v>
      </c>
      <c r="C57" s="171">
        <f>+(SUM($C$6:C27)+SUM($C$30:C31)-SUM($C$34:C36)-SUM($C$38:C38)-SUM($C$82:C90)+SUM($C$99:C113)-SUM($C$118:C121))*5%</f>
        <v>5696.767562083332</v>
      </c>
      <c r="D57" s="171">
        <f>+(SUM($C$6:D27)+SUM($C$30:D31)-SUM($C$34:D36)-SUM($C$38:D38)-SUM($C$82:D90)+SUM($C$99:D113)-SUM($C$118:D121))*5%</f>
        <v>13287.142728750001</v>
      </c>
      <c r="E57" s="171">
        <f>+(SUM($C$6:E27)+SUM($C$30:E31)-SUM($C$34:E36)-SUM($C$38:E38)-SUM($C$82:E90)+SUM($C$99:E113)-SUM($C$118:E121))*5%</f>
        <v>20877.517895416666</v>
      </c>
      <c r="F57" s="171">
        <f>+(SUM($C$6:F27)+SUM($C$30:F31)-SUM($C$34:F36)-SUM($C$38:F38)-SUM($C$82:F90)+SUM($C$99:F113)-SUM($C$118:F121))*5%</f>
        <v>25265.017728750005</v>
      </c>
      <c r="G57" s="171">
        <f>+(SUM($C$6:G27)+SUM($C$30:G31)-SUM($C$34:G36)-SUM($C$38:G38)-SUM($C$82:G90)+SUM($C$99:G113)-SUM($C$118:G121))*5%</f>
        <v>29652.517562083332</v>
      </c>
      <c r="H57" s="171">
        <f>+(SUM($C$6:H27)+SUM($C$30:H31)-SUM($C$34:H36)-SUM($C$38:H38)-SUM($C$82:H90)+SUM($C$99:H113)-SUM($C$118:H121))*5%</f>
        <v>31175.124865000005</v>
      </c>
      <c r="I57" s="171">
        <f>+(SUM($C$6:I27)+SUM($C$30:I31)-SUM($C$34:I36)-SUM($C$38:I38)-SUM($C$82:I90)+SUM($C$99:I113)-SUM($C$118:I121))*5%</f>
        <v>36878.87469833333</v>
      </c>
      <c r="J57" s="171">
        <f>+(SUM($C$6:J27)+SUM($C$30:J31)-SUM($C$34:J36)-SUM($C$38:J38)-SUM($C$82:J90)+SUM($C$99:J113)-SUM($C$118:J121))*5%</f>
        <v>36878.87469833333</v>
      </c>
      <c r="K57" s="171">
        <f>+(SUM($C$6:K27)+SUM($C$30:K31)-SUM($C$34:K36)-SUM($C$38:K38)-SUM($C$82:K90)+SUM($C$99:K113)-SUM($C$118:K121))*5%</f>
        <v>36878.87469833333</v>
      </c>
      <c r="L57" s="171">
        <f>+(SUM($C$6:L27)+SUM($C$30:L31)-SUM($C$34:L36)-SUM($C$38:L38)-SUM($C$82:L90)+SUM($C$99:L113)-SUM($C$118:L121))*5%</f>
        <v>36878.87469833333</v>
      </c>
      <c r="M57" s="171">
        <f>+(SUM($C$6:M27)+SUM($C$30:M31)-SUM($C$34:M36)-SUM($C$38:M38)-SUM($C$82:M90)+SUM($C$99:M113)-SUM($C$118:M121))*5%</f>
        <v>36878.87469833333</v>
      </c>
      <c r="N57" s="171">
        <f>+(SUM($C$6:N27)+SUM($C$30:N31)-SUM($C$34:N36)-SUM($C$38:N38)-SUM($C$82:N90)+SUM($C$99:N113)-SUM($C$118:N121))*5%</f>
        <v>36878.87469833333</v>
      </c>
      <c r="O57" s="153"/>
      <c r="P57" s="153"/>
      <c r="Q57" s="153"/>
      <c r="R57" s="153"/>
    </row>
    <row r="58" spans="1:18" s="2" customFormat="1" ht="12">
      <c r="A58" s="173" t="s">
        <v>103</v>
      </c>
      <c r="B58" s="164">
        <f>+SUM(C58:N58)</f>
        <v>0</v>
      </c>
      <c r="C58" s="152"/>
      <c r="D58" s="152"/>
      <c r="E58" s="145"/>
      <c r="F58" s="145"/>
      <c r="G58" s="145"/>
      <c r="H58" s="145"/>
      <c r="I58" s="145"/>
      <c r="J58" s="145"/>
      <c r="K58" s="145"/>
      <c r="L58" s="145"/>
      <c r="M58" s="145"/>
      <c r="N58" s="147"/>
      <c r="O58" s="153"/>
      <c r="P58" s="153"/>
      <c r="Q58" s="153"/>
      <c r="R58" s="153"/>
    </row>
    <row r="59" spans="1:18" s="2" customFormat="1" ht="12">
      <c r="A59" s="173" t="s">
        <v>50</v>
      </c>
      <c r="B59" s="164">
        <f>+SUM(C59:N59)</f>
        <v>0</v>
      </c>
      <c r="C59" s="152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7"/>
      <c r="O59" s="153"/>
      <c r="P59" s="153"/>
      <c r="Q59" s="153"/>
      <c r="R59" s="153"/>
    </row>
    <row r="60" spans="1:18" s="2" customFormat="1" ht="12">
      <c r="A60" s="173" t="s">
        <v>51</v>
      </c>
      <c r="B60" s="164">
        <f>+SUM(C60:N60)</f>
        <v>0</v>
      </c>
      <c r="C60" s="152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7"/>
      <c r="O60" s="153"/>
      <c r="P60" s="153"/>
      <c r="Q60" s="153"/>
      <c r="R60" s="153"/>
    </row>
    <row r="61" spans="1:18" s="2" customFormat="1" ht="12.75" thickBot="1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</row>
    <row r="62" spans="1:18" s="2" customFormat="1" ht="15.75" thickBot="1">
      <c r="A62" s="320" t="s">
        <v>195</v>
      </c>
      <c r="B62" s="32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53"/>
      <c r="P62" s="153"/>
      <c r="Q62" s="153"/>
      <c r="R62" s="153"/>
    </row>
    <row r="63" spans="1:18" s="2" customFormat="1" ht="12">
      <c r="A63" s="173" t="s">
        <v>104</v>
      </c>
      <c r="B63" s="164">
        <f>+SUM(C63:N63)</f>
        <v>0</v>
      </c>
      <c r="C63" s="152"/>
      <c r="D63" s="152"/>
      <c r="E63" s="152"/>
      <c r="F63" s="152"/>
      <c r="G63" s="152"/>
      <c r="H63" s="152"/>
      <c r="I63" s="152"/>
      <c r="J63" s="152"/>
      <c r="K63" s="152"/>
      <c r="L63" s="145"/>
      <c r="M63" s="145"/>
      <c r="N63" s="147"/>
      <c r="O63" s="153"/>
      <c r="P63" s="153"/>
      <c r="Q63" s="153"/>
      <c r="R63" s="153"/>
    </row>
    <row r="64" spans="1:18" s="2" customFormat="1" ht="12">
      <c r="A64" s="173" t="s">
        <v>131</v>
      </c>
      <c r="B64" s="164">
        <f>+SUM(C64:N64)</f>
        <v>0</v>
      </c>
      <c r="C64" s="152"/>
      <c r="D64" s="152"/>
      <c r="E64" s="152"/>
      <c r="F64" s="152"/>
      <c r="G64" s="145"/>
      <c r="H64" s="145"/>
      <c r="I64" s="145"/>
      <c r="J64" s="145"/>
      <c r="K64" s="145"/>
      <c r="L64" s="145"/>
      <c r="M64" s="145"/>
      <c r="N64" s="147"/>
      <c r="O64" s="153"/>
      <c r="P64" s="153"/>
      <c r="Q64" s="153"/>
      <c r="R64" s="153"/>
    </row>
    <row r="65" spans="1:18" s="2" customFormat="1" ht="12">
      <c r="A65" s="173" t="s">
        <v>132</v>
      </c>
      <c r="B65" s="164">
        <f>+SUM(C65:N65)</f>
        <v>0</v>
      </c>
      <c r="C65" s="152"/>
      <c r="D65" s="152"/>
      <c r="E65" s="152"/>
      <c r="F65" s="152"/>
      <c r="G65" s="145"/>
      <c r="H65" s="145"/>
      <c r="I65" s="145"/>
      <c r="J65" s="145"/>
      <c r="K65" s="145"/>
      <c r="L65" s="145"/>
      <c r="M65" s="145"/>
      <c r="N65" s="147"/>
      <c r="O65" s="153"/>
      <c r="P65" s="153"/>
      <c r="Q65" s="153"/>
      <c r="R65" s="153"/>
    </row>
    <row r="66" spans="1:18" s="2" customFormat="1" ht="12.75" thickBot="1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</row>
    <row r="67" spans="1:18" s="2" customFormat="1" ht="15.75" thickBot="1">
      <c r="A67" s="320" t="s">
        <v>73</v>
      </c>
      <c r="B67" s="32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53"/>
      <c r="P67" s="153"/>
      <c r="Q67" s="153"/>
      <c r="R67" s="153"/>
    </row>
    <row r="68" spans="1:18" s="2" customFormat="1" ht="12">
      <c r="A68" s="238" t="s">
        <v>39</v>
      </c>
      <c r="B68" s="164">
        <f>+SUM(C68:N68)</f>
        <v>0</v>
      </c>
      <c r="C68" s="152"/>
      <c r="D68" s="145"/>
      <c r="E68" s="145"/>
      <c r="F68" s="145"/>
      <c r="G68" s="152"/>
      <c r="H68" s="152"/>
      <c r="I68" s="152"/>
      <c r="J68" s="152"/>
      <c r="K68" s="152"/>
      <c r="L68" s="145"/>
      <c r="M68" s="145"/>
      <c r="N68" s="147"/>
      <c r="O68" s="153"/>
      <c r="P68" s="153"/>
      <c r="Q68" s="153"/>
      <c r="R68" s="153"/>
    </row>
    <row r="69" spans="1:18" s="2" customFormat="1" ht="12">
      <c r="A69" s="173" t="s">
        <v>105</v>
      </c>
      <c r="B69" s="164">
        <f>+SUM(C69:N69)</f>
        <v>0</v>
      </c>
      <c r="C69" s="152"/>
      <c r="D69" s="145"/>
      <c r="E69" s="145"/>
      <c r="F69" s="145"/>
      <c r="G69" s="152"/>
      <c r="H69" s="152"/>
      <c r="I69" s="152"/>
      <c r="J69" s="152"/>
      <c r="K69" s="152"/>
      <c r="L69" s="152"/>
      <c r="M69" s="145"/>
      <c r="N69" s="147"/>
      <c r="O69" s="153"/>
      <c r="P69" s="153"/>
      <c r="Q69" s="153"/>
      <c r="R69" s="153"/>
    </row>
    <row r="70" spans="1:18" s="2" customFormat="1" ht="12">
      <c r="A70" s="173" t="s">
        <v>42</v>
      </c>
      <c r="B70" s="164">
        <f>+SUM(C70:N70)</f>
        <v>0</v>
      </c>
      <c r="C70" s="152"/>
      <c r="D70" s="145"/>
      <c r="E70" s="145"/>
      <c r="F70" s="145"/>
      <c r="G70" s="152"/>
      <c r="H70" s="152"/>
      <c r="I70" s="152"/>
      <c r="J70" s="152"/>
      <c r="K70" s="152"/>
      <c r="L70" s="152"/>
      <c r="M70" s="152"/>
      <c r="N70" s="147"/>
      <c r="O70" s="153"/>
      <c r="P70" s="153"/>
      <c r="Q70" s="153"/>
      <c r="R70" s="153"/>
    </row>
    <row r="71" spans="1:18" s="2" customFormat="1" ht="12">
      <c r="A71" s="173" t="s">
        <v>43</v>
      </c>
      <c r="B71" s="164">
        <f>+SUM(C71:N71)</f>
        <v>0</v>
      </c>
      <c r="C71" s="152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7"/>
      <c r="O71" s="153"/>
      <c r="P71" s="153"/>
      <c r="Q71" s="153"/>
      <c r="R71" s="153"/>
    </row>
    <row r="72" spans="1:18" s="2" customFormat="1" ht="12">
      <c r="A72" s="173" t="s">
        <v>46</v>
      </c>
      <c r="B72" s="164">
        <f>+SUM(C72:N72)</f>
        <v>0</v>
      </c>
      <c r="C72" s="152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7"/>
      <c r="O72" s="153"/>
      <c r="P72" s="153"/>
      <c r="Q72" s="153"/>
      <c r="R72" s="153"/>
    </row>
    <row r="73" spans="1:18" s="2" customFormat="1" ht="12.75" thickBot="1">
      <c r="A73" s="174" t="s">
        <v>137</v>
      </c>
      <c r="B73" s="164">
        <f>+SUM(C73:N73)</f>
        <v>0</v>
      </c>
      <c r="C73" s="152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7"/>
      <c r="O73" s="153"/>
      <c r="P73" s="153"/>
      <c r="Q73" s="153"/>
      <c r="R73" s="153"/>
    </row>
    <row r="74" spans="1:18" s="2" customFormat="1" ht="12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</row>
    <row r="75" spans="1:18" s="2" customFormat="1" ht="12.75" thickBot="1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</row>
    <row r="76" spans="1:18" s="2" customFormat="1" ht="15.75" thickBot="1">
      <c r="A76" s="320" t="s">
        <v>185</v>
      </c>
      <c r="B76" s="321"/>
      <c r="C76" s="35" t="str">
        <f>+C5</f>
        <v>Enero</v>
      </c>
      <c r="D76" s="35" t="str">
        <f>+D5</f>
        <v>Febrero</v>
      </c>
      <c r="E76" s="35" t="str">
        <f>+E5</f>
        <v>Marzo</v>
      </c>
      <c r="F76" s="35" t="str">
        <f>+F5</f>
        <v>Abril</v>
      </c>
      <c r="G76" s="35" t="str">
        <f>+G5</f>
        <v>Mayo</v>
      </c>
      <c r="H76" s="35" t="str">
        <f>+H5</f>
        <v>Junio</v>
      </c>
      <c r="I76" s="35" t="str">
        <f>+I5</f>
        <v>Julio</v>
      </c>
      <c r="J76" s="35" t="str">
        <f>+J5</f>
        <v>Agosto</v>
      </c>
      <c r="K76" s="35" t="str">
        <f>+K5</f>
        <v>Septiembre</v>
      </c>
      <c r="L76" s="35" t="str">
        <f>+L5</f>
        <v>Octubre</v>
      </c>
      <c r="M76" s="35" t="str">
        <f>+M5</f>
        <v>Noviembre</v>
      </c>
      <c r="N76" s="35" t="s">
        <v>196</v>
      </c>
      <c r="O76" s="153"/>
      <c r="P76" s="153"/>
      <c r="Q76" s="153"/>
      <c r="R76" s="153"/>
    </row>
    <row r="77" spans="1:18" s="2" customFormat="1" ht="12">
      <c r="A77" s="172" t="s">
        <v>162</v>
      </c>
      <c r="B77" s="143">
        <v>0</v>
      </c>
      <c r="C77" s="146">
        <f>+IF($F$1&gt;C$4-1,$B77*$C246,0)</f>
        <v>0</v>
      </c>
      <c r="D77" s="146">
        <f>+IF($F$1&gt;D$4-1,$B77*$C246,0)</f>
        <v>0</v>
      </c>
      <c r="E77" s="146">
        <f>+IF($F$1&gt;E$4-1,$B77*$C246,0)</f>
        <v>0</v>
      </c>
      <c r="F77" s="146">
        <f>+IF($F$1&gt;F$4-1,$B77*$C246,0)</f>
        <v>0</v>
      </c>
      <c r="G77" s="146">
        <f>+IF($F$1&gt;G$4-1,$B77*$C246,0)</f>
        <v>0</v>
      </c>
      <c r="H77" s="146">
        <f>+IF($F$1&gt;H$4-1,$B77*$C246,0)</f>
        <v>0</v>
      </c>
      <c r="I77" s="146">
        <f>+IF($F$1&gt;I$4-1,$B77*$C246,0)</f>
        <v>0</v>
      </c>
      <c r="J77" s="146">
        <f>+IF($F$1&gt;J$4-1,$B77*$C246,0)</f>
        <v>0</v>
      </c>
      <c r="K77" s="146">
        <f>+IF($F$1&gt;K$4-1,$B77*$C246,0)</f>
        <v>0</v>
      </c>
      <c r="L77" s="146">
        <f>+IF($F$1&gt;L$4-1,$B77*$C246,0)</f>
        <v>0</v>
      </c>
      <c r="M77" s="146">
        <f>+IF($F$1&gt;M$4-1,$B77*$C246,0)</f>
        <v>0</v>
      </c>
      <c r="N77" s="239">
        <f>+IF($F$1&gt;N$4-1,$B77*$C246,0)</f>
        <v>0</v>
      </c>
      <c r="O77" s="153"/>
      <c r="P77" s="153"/>
      <c r="Q77" s="153"/>
      <c r="R77" s="153"/>
    </row>
    <row r="78" spans="1:18" s="2" customFormat="1" ht="12">
      <c r="A78" s="173" t="s">
        <v>37</v>
      </c>
      <c r="B78" s="144">
        <v>0</v>
      </c>
      <c r="C78" s="145">
        <f>+IF($F$1&gt;C$4-1,$B78*$C247,0)</f>
        <v>0</v>
      </c>
      <c r="D78" s="145">
        <f>+IF($F$1&gt;D$4-1,$B78*$C247,0)</f>
        <v>0</v>
      </c>
      <c r="E78" s="145">
        <f>+IF($F$1&gt;E$4-1,$B78*$C247,0)</f>
        <v>0</v>
      </c>
      <c r="F78" s="145">
        <f>+IF($F$1&gt;F$4-1,$B78*$C247,0)</f>
        <v>0</v>
      </c>
      <c r="G78" s="145">
        <f>+IF($F$1&gt;G$4-1,$B78*$C247,0)</f>
        <v>0</v>
      </c>
      <c r="H78" s="145">
        <f>+IF($F$1&gt;H$4-1,$B78*$C247,0)</f>
        <v>0</v>
      </c>
      <c r="I78" s="145">
        <f>+IF($F$1&gt;I$4-1,$B78*$C247,0)</f>
        <v>0</v>
      </c>
      <c r="J78" s="145">
        <f>+IF($F$1&gt;J$4-1,$B78*$C247,0)</f>
        <v>0</v>
      </c>
      <c r="K78" s="145">
        <f>+IF($F$1&gt;K$4-1,$B78*$C247,0)</f>
        <v>0</v>
      </c>
      <c r="L78" s="145">
        <f>+IF($F$1&gt;L$4-1,$B78*$C247,0)</f>
        <v>0</v>
      </c>
      <c r="M78" s="145">
        <f>+IF($F$1&gt;M$4-1,$B78*$C247,0)</f>
        <v>0</v>
      </c>
      <c r="N78" s="147">
        <f>+IF($F$1&gt;N$4-1,$B78*$C247,0)</f>
        <v>0</v>
      </c>
      <c r="O78" s="153"/>
      <c r="P78" s="153"/>
      <c r="Q78" s="153"/>
      <c r="R78" s="153"/>
    </row>
    <row r="79" spans="1:18" s="2" customFormat="1" ht="12.75" thickBot="1">
      <c r="A79" s="240" t="s">
        <v>161</v>
      </c>
      <c r="B79" s="388">
        <v>0</v>
      </c>
      <c r="C79" s="148">
        <f>+IF($F$1&gt;C$4-1,$B79*$C248,0)</f>
        <v>0</v>
      </c>
      <c r="D79" s="148">
        <f>+IF($F$1&gt;D$4-1,$B79*$C248,0)</f>
        <v>0</v>
      </c>
      <c r="E79" s="148">
        <f>+IF($F$1&gt;E$4-1,$B79*$C248,0)</f>
        <v>0</v>
      </c>
      <c r="F79" s="148">
        <f>+IF($F$1&gt;F$4-1,$B79*$C248,0)</f>
        <v>0</v>
      </c>
      <c r="G79" s="148">
        <f>+IF($F$1&gt;G$4-1,$B79*$C248,0)</f>
        <v>0</v>
      </c>
      <c r="H79" s="148">
        <f>+IF($F$1&gt;H$4-1,$B79*$C248,0)</f>
        <v>0</v>
      </c>
      <c r="I79" s="148">
        <f>+IF($F$1&gt;I$4-1,$B79*$C248,0)</f>
        <v>0</v>
      </c>
      <c r="J79" s="148">
        <f>+IF($F$1&gt;J$4-1,$B79*$C248,0)</f>
        <v>0</v>
      </c>
      <c r="K79" s="148">
        <f>+IF($F$1&gt;K$4-1,$B79*$C248,0)</f>
        <v>0</v>
      </c>
      <c r="L79" s="148">
        <f>+IF($F$1&gt;L$4-1,$B79*$C248,0)</f>
        <v>0</v>
      </c>
      <c r="M79" s="148">
        <f>+IF($F$1&gt;M$4-1,$B79*$C248,0)</f>
        <v>0</v>
      </c>
      <c r="N79" s="149">
        <f>+IF($F$1&gt;N$4-1,$B79*$C248,0)</f>
        <v>0</v>
      </c>
      <c r="O79" s="153"/>
      <c r="P79" s="153"/>
      <c r="Q79" s="153"/>
      <c r="R79" s="153"/>
    </row>
    <row r="80" spans="1:18" s="2" customFormat="1" ht="12">
      <c r="A80" s="173" t="s">
        <v>72</v>
      </c>
      <c r="B80" s="164">
        <f>+SUM(C80:N80)</f>
        <v>0</v>
      </c>
      <c r="C80" s="152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7"/>
      <c r="O80" s="153"/>
      <c r="P80" s="153"/>
      <c r="Q80" s="153"/>
      <c r="R80" s="153"/>
    </row>
    <row r="81" spans="1:18" s="2" customFormat="1" ht="12.75" thickBot="1">
      <c r="A81" s="173" t="s">
        <v>47</v>
      </c>
      <c r="B81" s="164">
        <f>+SUM(C81:N81)</f>
        <v>0</v>
      </c>
      <c r="C81" s="152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7"/>
      <c r="O81" s="153"/>
      <c r="P81" s="153"/>
      <c r="Q81" s="153"/>
      <c r="R81" s="153"/>
    </row>
    <row r="82" spans="1:18" s="2" customFormat="1" ht="12">
      <c r="A82" s="172" t="s">
        <v>39</v>
      </c>
      <c r="B82" s="163">
        <f>+SUM(C82:N82)</f>
        <v>0</v>
      </c>
      <c r="C82" s="389">
        <f>+IF($F$1&gt;C4-1,IF(C68&gt;$C$208,$C$208,C68),0)</f>
        <v>0</v>
      </c>
      <c r="D82" s="390">
        <f>+IF($F$1=12,IF(SUM($C$68:D68)&gt;$C$208,$C$208-SUM($C$82:C82),D68),0)</f>
        <v>0</v>
      </c>
      <c r="E82" s="390">
        <f>+IF($F$1=12,IF(SUM($C$68:E68)&gt;$C$208,$C$208-SUM($C$82:D82),E68),0)</f>
        <v>0</v>
      </c>
      <c r="F82" s="390">
        <f>+IF($F$1=12,IF(SUM($C$68:F68)&gt;$C$208,$C$208-SUM($C$82:E82),F68),0)</f>
        <v>0</v>
      </c>
      <c r="G82" s="390">
        <f>+IF($F$1=12,IF(SUM($C$68:G68)&gt;$C$208,$C$208-SUM($C$82:F82),G68),0)</f>
        <v>0</v>
      </c>
      <c r="H82" s="390">
        <f>+IF($F$1=12,IF(SUM($C$68:H68)&gt;$C$208,$C$208-SUM($C$82:G82),H68),0)</f>
        <v>0</v>
      </c>
      <c r="I82" s="390">
        <f>+IF($F$1=12,IF(SUM($C$68:I68)&gt;$C$208,$C$208-SUM($C$82:H82),I68),0)</f>
        <v>0</v>
      </c>
      <c r="J82" s="390">
        <f>+IF($F$1=12,IF(SUM($C$68:J68)&gt;$C$208,$C$208-SUM($C$82:I82),J68),0)</f>
        <v>0</v>
      </c>
      <c r="K82" s="390">
        <f>+IF($F$1=12,IF(SUM($C$68:K68)&gt;$C$208,$C$208-SUM($C$82:J82),K68),0)</f>
        <v>0</v>
      </c>
      <c r="L82" s="390">
        <f>+IF($F$1=12,IF(SUM($C$68:L68)&gt;$C$208,$C$208-SUM($C$82:K82),L68),0)</f>
        <v>0</v>
      </c>
      <c r="M82" s="390">
        <f>+IF($F$1=12,IF(SUM($C$68:M68)&gt;$C$208,$C$208-SUM($C$82:L82),M68),0)</f>
        <v>0</v>
      </c>
      <c r="N82" s="391">
        <f>+IF($F$1=12,IF(SUM($C$68:N68)&gt;$C$208,$C$208-SUM($C$82:M82),N68),0)</f>
        <v>0</v>
      </c>
      <c r="O82" s="153"/>
      <c r="P82" s="153"/>
      <c r="Q82" s="153"/>
      <c r="R82" s="153"/>
    </row>
    <row r="83" spans="1:18" s="2" customFormat="1" ht="12">
      <c r="A83" s="173" t="s">
        <v>104</v>
      </c>
      <c r="B83" s="164">
        <f aca="true" t="shared" si="22" ref="B83:B93">+SUM(C83:N83)</f>
        <v>0</v>
      </c>
      <c r="C83" s="175">
        <f>+IF($F$1=12,IF(C63&gt;$N$251,$N$251,C63),0)</f>
        <v>0</v>
      </c>
      <c r="D83" s="175">
        <f>+IF($F$1=12,IF(SUM($C$63:D63)&gt;$N$251,$N$251-SUM($C$83:C83),D63),0)</f>
        <v>0</v>
      </c>
      <c r="E83" s="175">
        <f>+IF($F$1=12,IF(SUM($C$63:E63)&gt;$N$251,$N$251-SUM($C$83:D83),E63),0)</f>
        <v>0</v>
      </c>
      <c r="F83" s="175">
        <f>+IF($F$1=12,IF(SUM($C$63:F63)&gt;$N$251,$N$251-SUM($C$83:E83),F63),0)</f>
        <v>0</v>
      </c>
      <c r="G83" s="175">
        <f>+IF($F$1=12,IF(SUM($C$63:G63)&gt;$N$251,$N$251-SUM($C$83:F83),G63),0)</f>
        <v>0</v>
      </c>
      <c r="H83" s="175">
        <f>+IF($F$1=12,IF(SUM($C$63:H63)&gt;$N$251,$N$251-SUM($C$83:G83),H63),0)</f>
        <v>0</v>
      </c>
      <c r="I83" s="175">
        <f>+IF($F$1=12,IF(SUM($C$63:I63)&gt;$N$251,$N$251-SUM($C$83:H83),I63),0)</f>
        <v>0</v>
      </c>
      <c r="J83" s="175">
        <f>+IF($F$1=12,IF(SUM($C$63:J63)&gt;$N$251,$N$251-SUM($C$83:I83),J63),0)</f>
        <v>0</v>
      </c>
      <c r="K83" s="175">
        <f>+IF($F$1=12,IF(SUM($C$63:K63)&gt;$N$251,$N$251-SUM($C$83:J83),K63),0)</f>
        <v>0</v>
      </c>
      <c r="L83" s="175">
        <f>+IF($F$1=12,IF(SUM($C$63:L63)&gt;$N$251,$N$251-SUM($C$83:K83),L63),0)</f>
        <v>0</v>
      </c>
      <c r="M83" s="175">
        <f>+IF($F$1=12,IF(SUM($C$63:M63)&gt;$N$251,$N$251-SUM($C$83:L83),M63),0)</f>
        <v>0</v>
      </c>
      <c r="N83" s="392">
        <f>+IF($F$1=12,IF(SUM($C$63:N63)&gt;$N$251,$N$251-SUM($C$83:M83),N63),0)</f>
        <v>0</v>
      </c>
      <c r="O83" s="153"/>
      <c r="P83" s="153"/>
      <c r="Q83" s="153"/>
      <c r="R83" s="153"/>
    </row>
    <row r="84" spans="1:18" s="2" customFormat="1" ht="12">
      <c r="A84" s="173" t="s">
        <v>131</v>
      </c>
      <c r="B84" s="164">
        <f t="shared" si="22"/>
        <v>0</v>
      </c>
      <c r="C84" s="175">
        <f>+IF($F$1=12,IF(C64&gt;$N$251,$N$251,C64),0)</f>
        <v>0</v>
      </c>
      <c r="D84" s="387">
        <f>+IF($F$1=12,IF(SUM($C$64:D64)&gt;$N$251,$N$251-SUM($C$83:C83),D64),0)</f>
        <v>0</v>
      </c>
      <c r="E84" s="387">
        <f>+IF($F$1=12,IF(SUM($C$64:E64)&gt;$N$251,$N$251-SUM($C$83:D83),E64),0)</f>
        <v>0</v>
      </c>
      <c r="F84" s="387">
        <f>+IF($F$1=12,IF(SUM($C$64:F64)&gt;$N$251,$N$251-SUM($C$83:E83),F64),0)</f>
        <v>0</v>
      </c>
      <c r="G84" s="387">
        <f>+IF($F$1=12,IF(SUM($C$64:G64)&gt;$N$251,$N$251-SUM($C$83:F83),G64),0)</f>
        <v>0</v>
      </c>
      <c r="H84" s="387">
        <f>+IF($F$1=12,IF(SUM($C$64:H64)&gt;$N$251,$N$251-SUM($C$83:G83),H64),0)</f>
        <v>0</v>
      </c>
      <c r="I84" s="387">
        <f>+IF($F$1=12,IF(SUM($C$64:I64)&gt;$N$251,$N$251-SUM($C$83:H83),I64),0)</f>
        <v>0</v>
      </c>
      <c r="J84" s="387">
        <f>+IF($F$1=12,IF(SUM($C$64:J64)&gt;$N$251,$N$251-SUM($C$83:I83),J64),0)</f>
        <v>0</v>
      </c>
      <c r="K84" s="387">
        <f>+IF($F$1=12,IF(SUM($C$64:K64)&gt;$N$251,$N$251-SUM($C$83:J83),K64),0)</f>
        <v>0</v>
      </c>
      <c r="L84" s="387">
        <f>+IF($F$1=12,IF(SUM($C$64:L64)&gt;$N$251,$N$251-SUM($C$83:K83),L64),0)</f>
        <v>0</v>
      </c>
      <c r="M84" s="387">
        <f>+IF($F$1=12,IF(SUM($C$64:M64)&gt;$N$251,$N$251-SUM($C$83:L83),M64),0)</f>
        <v>0</v>
      </c>
      <c r="N84" s="393">
        <f>+IF($F$1=12,IF(SUM($C$64:N64)&gt;$N$251,$N$251-SUM($C$83:M83),N64),0)</f>
        <v>0</v>
      </c>
      <c r="O84" s="153"/>
      <c r="P84" s="153"/>
      <c r="Q84" s="153"/>
      <c r="R84" s="153"/>
    </row>
    <row r="85" spans="1:18" s="2" customFormat="1" ht="12">
      <c r="A85" s="173" t="s">
        <v>105</v>
      </c>
      <c r="B85" s="164">
        <f t="shared" si="22"/>
        <v>0</v>
      </c>
      <c r="C85" s="175">
        <f>+IF($F$1&gt;C4-1,IF(C69&gt;$C$206,$C$206,C69),0)</f>
        <v>0</v>
      </c>
      <c r="D85" s="387">
        <f>+IF($F$1=12,IF(SUM($C$69:D69)&gt;$C$206,$C$206-SUM($C$85:C85),D69),0)</f>
        <v>0</v>
      </c>
      <c r="E85" s="387">
        <f>+IF($F$1=12,IF(SUM($C$69:E69)&gt;$C$206,$C$206-SUM($C$85:D85),E69),0)</f>
        <v>0</v>
      </c>
      <c r="F85" s="387">
        <f>+IF($F$1=12,IF(SUM($C$69:F69)&gt;$C$206,$C$206-SUM($C$85:E85),F69),0)</f>
        <v>0</v>
      </c>
      <c r="G85" s="387">
        <f>+IF($F$1=12,IF(SUM($C$69:G69)&gt;$C$206,$C$206-SUM($C$85:F85),G69),0)</f>
        <v>0</v>
      </c>
      <c r="H85" s="387">
        <f>+IF($F$1=12,IF(SUM($C$69:H69)&gt;$C$206,$C$206-SUM($C$85:G85),H69),0)</f>
        <v>0</v>
      </c>
      <c r="I85" s="387">
        <f>+IF($F$1=12,IF(SUM($C$69:I69)&gt;$C$206,$C$206-SUM($C$85:H85),I69),0)</f>
        <v>0</v>
      </c>
      <c r="J85" s="387">
        <f>+IF($F$1=12,IF(SUM($C$69:J69)&gt;$C$206,$C$206-SUM($C$85:I85),J69),0)</f>
        <v>0</v>
      </c>
      <c r="K85" s="387">
        <f>+IF($F$1=12,IF(SUM($C$69:K69)&gt;$C$206,$C$206-SUM($C$85:J85),K69),0)</f>
        <v>0</v>
      </c>
      <c r="L85" s="387">
        <f>+IF($F$1=12,IF(SUM($C$69:L69)&gt;$C$206,$C$206-SUM($C$85:K85),L69),0)</f>
        <v>0</v>
      </c>
      <c r="M85" s="387">
        <f>+IF($F$1=12,IF(SUM($C$69:M69)&gt;$C$206,$C$206-SUM($C$85:L85),M69),0)</f>
        <v>0</v>
      </c>
      <c r="N85" s="393">
        <f>+IF($F$1=12,IF(SUM($C$69:N69)&gt;$C$206,$C$206-SUM($C$85:M85),N69),0)</f>
        <v>0</v>
      </c>
      <c r="O85" s="153"/>
      <c r="P85" s="153"/>
      <c r="Q85" s="153"/>
      <c r="R85" s="153"/>
    </row>
    <row r="86" spans="1:18" s="2" customFormat="1" ht="12">
      <c r="A86" s="173" t="s">
        <v>42</v>
      </c>
      <c r="B86" s="164">
        <f t="shared" si="22"/>
        <v>0</v>
      </c>
      <c r="C86" s="175">
        <f>+IF($F$1&gt;C4-1,IF(C70&gt;$C$207,$C$207,C70),0)</f>
        <v>0</v>
      </c>
      <c r="D86" s="387">
        <f>+IF($F$1=12,IF(SUM($C$70:D70)&gt;$C$207,$C$207-SUM($C$86:C86),D70),0)</f>
        <v>0</v>
      </c>
      <c r="E86" s="387">
        <f>+IF($F$1=12,IF(SUM($C$70:E70)&gt;$C$207,$C$207-SUM($C$86:D86),E70),0)</f>
        <v>0</v>
      </c>
      <c r="F86" s="387">
        <f>+IF($F$1=12,IF(SUM($C$70:F70)&gt;$C$207,$C$207-SUM($C$86:E86),F70),0)</f>
        <v>0</v>
      </c>
      <c r="G86" s="387">
        <f>+IF($F$1=12,IF(SUM($C$70:G70)&gt;$C$207,$C$207-SUM($C$86:F86),G70),0)</f>
        <v>0</v>
      </c>
      <c r="H86" s="387">
        <f>+IF($F$1=12,IF(SUM($C$70:H70)&gt;$C$207,$C$207-SUM($C$86:G86),H70),0)</f>
        <v>0</v>
      </c>
      <c r="I86" s="387">
        <f>+IF($F$1=12,IF(SUM($C$70:I70)&gt;$C$207,$C$207-SUM($C$86:H86),I70),0)</f>
        <v>0</v>
      </c>
      <c r="J86" s="387">
        <f>+IF($F$1=12,IF(SUM($C$70:J70)&gt;$C$207,$C$207-SUM($C$86:I86),J70),0)</f>
        <v>0</v>
      </c>
      <c r="K86" s="387">
        <f>+IF($F$1=12,IF(SUM($C$70:K70)&gt;$C$207,$C$207-SUM($C$86:J86),K70),0)</f>
        <v>0</v>
      </c>
      <c r="L86" s="387">
        <f>+IF($F$1=12,IF(SUM($C$70:L70)&gt;$C$207,$C$207-SUM($C$86:K86),L70),0)</f>
        <v>0</v>
      </c>
      <c r="M86" s="387">
        <f>+IF($F$1=12,IF(SUM($C$70:M70)&gt;$C$207,$C$207-SUM($C$86:L86),M70),0)</f>
        <v>0</v>
      </c>
      <c r="N86" s="393">
        <f>+IF($F$1=12,IF(SUM($C$70:N70)&gt;$C$207,$C$207-SUM($C$86:M86),N70),0)</f>
        <v>0</v>
      </c>
      <c r="O86" s="153"/>
      <c r="P86" s="153"/>
      <c r="Q86" s="153"/>
      <c r="R86" s="153"/>
    </row>
    <row r="87" spans="1:18" s="2" customFormat="1" ht="12">
      <c r="A87" s="173" t="s">
        <v>43</v>
      </c>
      <c r="B87" s="164">
        <f t="shared" si="22"/>
        <v>0</v>
      </c>
      <c r="C87" s="175">
        <f>+IF($F$1&gt;C4-1,IF(C71&gt;$C$209,$C$209,C71),0)</f>
        <v>0</v>
      </c>
      <c r="D87" s="387">
        <f>+IF($F$1=12,IF(SUM($C$71:D71)&gt;$C$209,$C$209-SUM($C$87:C87),D71),0)</f>
        <v>0</v>
      </c>
      <c r="E87" s="387">
        <f>+IF($F$1=12,IF(SUM($C$71:E71)&gt;$C$209,$C$209-SUM($C$87:D87),E71),0)</f>
        <v>0</v>
      </c>
      <c r="F87" s="387">
        <f>+IF($F$1=12,IF(SUM($C$71:F71)&gt;$C$209,$C$209-SUM($C$87:E87),F71),0)</f>
        <v>0</v>
      </c>
      <c r="G87" s="387">
        <f>+IF($F$1=12,IF(SUM($C$71:G71)&gt;$C$209,$C$209-SUM($C$87:F87),G71),0)</f>
        <v>0</v>
      </c>
      <c r="H87" s="387">
        <f>+IF($F$1=12,IF(SUM($C$71:H71)&gt;$C$209,$C$209-SUM($C$87:G87),H71),0)</f>
        <v>0</v>
      </c>
      <c r="I87" s="387">
        <f>+IF($F$1=12,IF(SUM($C$71:I71)&gt;$C$209,$C$209-SUM($C$87:H87),I71),0)</f>
        <v>0</v>
      </c>
      <c r="J87" s="387">
        <f>+IF($F$1=12,IF(SUM($C$71:J71)&gt;$C$209,$C$209-SUM($C$87:I87),J71),0)</f>
        <v>0</v>
      </c>
      <c r="K87" s="387">
        <f>+IF($F$1=12,IF(SUM($C$71:K71)&gt;$C$209,$C$209-SUM($C$87:J87),K71),0)</f>
        <v>0</v>
      </c>
      <c r="L87" s="387">
        <f>+IF($F$1=12,IF(SUM($C$71:L71)&gt;$C$209,$C$209-SUM($C$87:K87),L71),0)</f>
        <v>0</v>
      </c>
      <c r="M87" s="387">
        <f>+IF($F$1=12,IF(SUM($C$71:M71)&gt;$C$209,$C$209-SUM($C$87:L87),M71),0)</f>
        <v>0</v>
      </c>
      <c r="N87" s="393">
        <f>+IF($F$1=12,IF(SUM($C$71:N71)&gt;$C$209,$C$209-SUM($C$87:M87),N71),0)</f>
        <v>0</v>
      </c>
      <c r="O87" s="153"/>
      <c r="P87" s="153"/>
      <c r="Q87" s="153"/>
      <c r="R87" s="153"/>
    </row>
    <row r="88" spans="1:18" s="2" customFormat="1" ht="12">
      <c r="A88" s="173" t="s">
        <v>46</v>
      </c>
      <c r="B88" s="164">
        <f t="shared" si="22"/>
        <v>0</v>
      </c>
      <c r="C88" s="175">
        <f>+IF($F$1&gt;C4-1,IF(C72&gt;$C$204,$C$204,C72),0)</f>
        <v>0</v>
      </c>
      <c r="D88" s="387">
        <f>+IF($F$1=12,IF(SUM($C$72:D72)&gt;$C$204,$C$204-SUM($C$88:C88),D72),0)</f>
        <v>0</v>
      </c>
      <c r="E88" s="387">
        <f>+IF($F$1=12,IF(SUM($C$72:E72)&gt;$C$204,$C$204-SUM($C$88:D88),E72),0)</f>
        <v>0</v>
      </c>
      <c r="F88" s="387">
        <f>+IF($F$1=12,IF(SUM($C$72:F72)&gt;$C$204,$C$204-SUM($C$88:E88),F72),0)</f>
        <v>0</v>
      </c>
      <c r="G88" s="387">
        <f>+IF($F$1=12,IF(SUM($C$72:G72)&gt;$C$204,$C$204-SUM($C$88:F88),G72),0)</f>
        <v>0</v>
      </c>
      <c r="H88" s="387">
        <f>+IF($F$1=12,IF(SUM($C$72:H72)&gt;$C$204,$C$204-SUM($C$88:G88),H72),0)</f>
        <v>0</v>
      </c>
      <c r="I88" s="387">
        <f>+IF($F$1=12,IF(SUM($C$72:I72)&gt;$C$204,$C$204-SUM($C$88:H88),I72),0)</f>
        <v>0</v>
      </c>
      <c r="J88" s="387">
        <f>+IF($F$1=12,IF(SUM($C$72:J72)&gt;$C$204,$C$204-SUM($C$88:I88),J72),0)</f>
        <v>0</v>
      </c>
      <c r="K88" s="387">
        <f>+IF($F$1=12,IF(SUM($C$72:K72)&gt;$C$204,$C$204-SUM($C$88:J88),K72),0)</f>
        <v>0</v>
      </c>
      <c r="L88" s="387">
        <f>+IF($F$1=12,IF(SUM($C$72:L72)&gt;$C$204,$C$204-SUM($C$88:K88),L72),0)</f>
        <v>0</v>
      </c>
      <c r="M88" s="387">
        <f>+IF($F$1=12,IF(SUM($C$72:M72)&gt;$C$204,$C$204-SUM($C$88:L88),M72),0)</f>
        <v>0</v>
      </c>
      <c r="N88" s="393">
        <f>+IF($F$1=12,IF(SUM($C$72:N72)&gt;$C$204,$C$204-SUM($C$88:M88),N72),0)</f>
        <v>0</v>
      </c>
      <c r="O88" s="153"/>
      <c r="P88" s="153"/>
      <c r="Q88" s="153"/>
      <c r="R88" s="153"/>
    </row>
    <row r="89" spans="1:18" s="2" customFormat="1" ht="12">
      <c r="A89" s="173" t="s">
        <v>132</v>
      </c>
      <c r="B89" s="164">
        <f t="shared" si="22"/>
        <v>0</v>
      </c>
      <c r="C89" s="175">
        <f>+IF($F$1=12,IF(C65&gt;$N$251,$N$251,C65),0)</f>
        <v>0</v>
      </c>
      <c r="D89" s="387">
        <f>+IF($F$1=12,IF(SUM($C$65:D65)&gt;$N$251,$N$251-SUM($C$83:C83),D65),0)</f>
        <v>0</v>
      </c>
      <c r="E89" s="387">
        <f>+IF($F$1=12,IF(SUM($C$65:E65)&gt;$N$251,$N$251-SUM($C$83:D83),E65),0)</f>
        <v>0</v>
      </c>
      <c r="F89" s="387">
        <f>+IF($F$1=12,IF(SUM($C$65:F65)&gt;$N$251,$N$251-SUM($C$83:E83),F65),0)</f>
        <v>0</v>
      </c>
      <c r="G89" s="387">
        <f>+IF($F$1=12,IF(SUM($C$65:G65)&gt;$N$251,$N$251-SUM($C$83:F83),G65),0)</f>
        <v>0</v>
      </c>
      <c r="H89" s="387">
        <f>+IF($F$1=12,IF(SUM($C$65:H65)&gt;$N$251,$N$251-SUM($C$83:G83),H65),0)</f>
        <v>0</v>
      </c>
      <c r="I89" s="387">
        <f>+IF($F$1=12,IF(SUM($C$65:I65)&gt;$N$251,$N$251-SUM($C$83:H83),I65),0)</f>
        <v>0</v>
      </c>
      <c r="J89" s="387">
        <f>+IF($F$1=12,IF(SUM($C$65:J65)&gt;$N$251,$N$251-SUM($C$83:I83),J65),0)</f>
        <v>0</v>
      </c>
      <c r="K89" s="387">
        <f>+IF($F$1=12,IF(SUM($C$65:K65)&gt;$N$251,$N$251-SUM($C$83:J83),K65),0)</f>
        <v>0</v>
      </c>
      <c r="L89" s="387">
        <f>+IF($F$1=12,IF(SUM($C$65:L65)&gt;$N$251,$N$251-SUM($C$83:K83),L65),0)</f>
        <v>0</v>
      </c>
      <c r="M89" s="387">
        <f>+IF($F$1=12,IF(SUM($C$65:M65)&gt;$N$251,$N$251-SUM($C$83:L83),M65),0)</f>
        <v>0</v>
      </c>
      <c r="N89" s="393">
        <f>+IF($F$1=12,IF(SUM($C$65:N65)&gt;$N$251,$N$251-SUM($C$83:M83),N65),0)</f>
        <v>0</v>
      </c>
      <c r="O89" s="153"/>
      <c r="P89" s="153"/>
      <c r="Q89" s="153"/>
      <c r="R89" s="153"/>
    </row>
    <row r="90" spans="1:18" s="2" customFormat="1" ht="12.75" thickBot="1">
      <c r="A90" s="174" t="s">
        <v>137</v>
      </c>
      <c r="B90" s="165">
        <f>+SUM(C90:N90)</f>
        <v>0</v>
      </c>
      <c r="C90" s="394">
        <f>+IF($F$1&gt;C4-1,IF(C73&gt;$C$209,$C$209,C73),0)</f>
        <v>0</v>
      </c>
      <c r="D90" s="396">
        <f>+IF($F$1=12,IF(SUM($C$73:D73)&gt;$C$209,$C$209-SUM($C$90:C90),D73),0)</f>
        <v>0</v>
      </c>
      <c r="E90" s="396">
        <f>+IF($F$1=12,IF(SUM($C$73:E73)&gt;$C$209,$C$209-SUM($C$90:D90),E73),0)</f>
        <v>0</v>
      </c>
      <c r="F90" s="396">
        <f>+IF($F$1=12,IF(SUM($C$73:F73)&gt;$C$209,$C$209-SUM($C$90:E90),F73),0)</f>
        <v>0</v>
      </c>
      <c r="G90" s="396">
        <f>+IF($F$1=12,IF(SUM($C$73:G73)&gt;$C$209,$C$209-SUM($C$90:F90),G73),0)</f>
        <v>0</v>
      </c>
      <c r="H90" s="396">
        <f>+IF($F$1=12,IF(SUM($C$73:H73)&gt;$C$209,$C$209-SUM($C$90:G90),H73),0)</f>
        <v>0</v>
      </c>
      <c r="I90" s="396">
        <f>+IF($F$1=12,IF(SUM($C$73:I73)&gt;$C$209,$C$209-SUM($C$90:H90),I73),0)</f>
        <v>0</v>
      </c>
      <c r="J90" s="396">
        <f>+IF($F$1=12,IF(SUM($C$73:J73)&gt;$C$209,$C$209-SUM($C$90:I90),J73),0)</f>
        <v>0</v>
      </c>
      <c r="K90" s="396">
        <f>+IF($F$1=12,IF(SUM($C$73:K73)&gt;$C$209,$C$209-SUM($C$90:J90),K73),0)</f>
        <v>0</v>
      </c>
      <c r="L90" s="396">
        <f>+IF($F$1=12,IF(SUM($C$73:L73)&gt;$C$209,$C$209-SUM($C$90:K90),L73),0)</f>
        <v>0</v>
      </c>
      <c r="M90" s="396">
        <f>+IF($F$1=12,IF(SUM($C$73:M73)&gt;$C$209,$C$209-SUM($C$90:L90),M73),0)</f>
        <v>0</v>
      </c>
      <c r="N90" s="396">
        <f>+IF($F$1=12,IF(SUM($C$73:N73)&gt;$C$209,$C$209-SUM($C$90:M90),N73),0)</f>
        <v>0</v>
      </c>
      <c r="O90" s="153"/>
      <c r="P90" s="153"/>
      <c r="Q90" s="153"/>
      <c r="R90" s="153"/>
    </row>
    <row r="91" spans="1:18" s="2" customFormat="1" ht="12">
      <c r="A91" s="173" t="s">
        <v>103</v>
      </c>
      <c r="B91" s="164">
        <f t="shared" si="22"/>
        <v>0</v>
      </c>
      <c r="C91" s="175">
        <f>+IF($F$1&gt;C$4-1,IF(C57&lt;0,0,MIN(C57,SUM($C$58:C58))),0)</f>
        <v>0</v>
      </c>
      <c r="D91" s="175">
        <f>+IF($F$1&gt;D$4-1,IF(D57&lt;0,0,MIN(D57,SUM($C$58:D58))-SUM($C$91:C91)),0)</f>
        <v>0</v>
      </c>
      <c r="E91" s="175">
        <f>+IF($F$1&gt;E$4-1,IF(E57&lt;0,0,MIN(E57,SUM($C$58:E58))-SUM($C$91:D91)),0)</f>
        <v>0</v>
      </c>
      <c r="F91" s="175">
        <f>+IF($F$1&gt;F$4-1,IF(F57&lt;0,0,MIN(F57,SUM($C$58:F58))-SUM($C$91:E91)),0)</f>
        <v>0</v>
      </c>
      <c r="G91" s="175">
        <f>+IF($F$1&gt;G$4-1,IF(G57&lt;0,0,MIN(G57,SUM($C$58:G58))-SUM($C$91:F91)),0)</f>
        <v>0</v>
      </c>
      <c r="H91" s="175">
        <f>+IF($F$1&gt;H$4-1,IF(H57&lt;0,0,MIN(H57,SUM($C$58:H58))-SUM($C$91:G91)),0)</f>
        <v>0</v>
      </c>
      <c r="I91" s="175">
        <f>+IF($F$1&gt;I$4-1,IF(I57&lt;0,0,MIN(I57,SUM($C$58:I58))-SUM($C$91:H91)),0)</f>
        <v>0</v>
      </c>
      <c r="J91" s="175">
        <f>+IF($F$1&gt;J$4-1,IF(J57&lt;0,0,MIN(J57,SUM($C$58:J58))-SUM($C$91:I91)),0)</f>
        <v>0</v>
      </c>
      <c r="K91" s="175">
        <f>+IF($F$1&gt;K$4-1,IF(K57&lt;0,0,MIN(K57,SUM($C$58:K58))-SUM($C$91:J91)),0)</f>
        <v>0</v>
      </c>
      <c r="L91" s="175">
        <f>+IF($F$1&gt;L$4-1,IF(L57&lt;0,0,MIN(L57,SUM($C$58:L58))-SUM($C$91:K91)),0)</f>
        <v>0</v>
      </c>
      <c r="M91" s="175">
        <f>+IF($F$1&gt;M$4-1,IF(M57&lt;0,0,MIN(M57,SUM($C$58:M58))-SUM($C$91:L91)),0)</f>
        <v>0</v>
      </c>
      <c r="N91" s="392">
        <f>+IF($F$1&gt;N$4-1,IF(N57&lt;0,0,MIN(N57,SUM($C$58:N58))-SUM($C$91:M91)),0)</f>
        <v>0</v>
      </c>
      <c r="O91" s="153"/>
      <c r="P91" s="153"/>
      <c r="Q91" s="153"/>
      <c r="R91" s="153"/>
    </row>
    <row r="92" spans="1:18" s="2" customFormat="1" ht="12">
      <c r="A92" s="173" t="s">
        <v>50</v>
      </c>
      <c r="B92" s="164">
        <f t="shared" si="22"/>
        <v>0</v>
      </c>
      <c r="C92" s="175">
        <f>+IF($F$1&gt;C$4-1,IF(C57&lt;0,0,MIN(C57,SUM($C$59:C59))),0)</f>
        <v>0</v>
      </c>
      <c r="D92" s="175">
        <f>+IF($F$1&gt;D$4-1,IF(D57&lt;0,0,MIN(D57,SUM($C$59:D59))-SUM($C$92:C92)),0)</f>
        <v>0</v>
      </c>
      <c r="E92" s="175">
        <f>+IF($F$1&gt;E$4-1,IF(E57&lt;0,0,MIN(E57,SUM($C$59:E59))-SUM($C$92:D92)),0)</f>
        <v>0</v>
      </c>
      <c r="F92" s="175">
        <f>+IF($F$1&gt;F$4-1,IF(F57&lt;0,0,MIN(F57,SUM($C$59:F59))-SUM($C$92:E92)),0)</f>
        <v>0</v>
      </c>
      <c r="G92" s="175">
        <f>+IF($F$1&gt;G$4-1,IF(G57&lt;0,0,MIN(G57,SUM($C$59:G59))-SUM($C$92:F92)),0)</f>
        <v>0</v>
      </c>
      <c r="H92" s="175">
        <f>+IF($F$1&gt;H$4-1,IF(H57&lt;0,0,MIN(H57,SUM($C$59:H59))-SUM($C$92:G92)),0)</f>
        <v>0</v>
      </c>
      <c r="I92" s="175">
        <f>+IF($F$1&gt;I$4-1,IF(I57&lt;0,0,MIN(I57,SUM($C$59:I59))-SUM($C$92:H92)),0)</f>
        <v>0</v>
      </c>
      <c r="J92" s="175">
        <f>+IF($F$1&gt;J$4-1,IF(J57&lt;0,0,MIN(J57,SUM($C$59:J59))-SUM($C$92:I92)),0)</f>
        <v>0</v>
      </c>
      <c r="K92" s="175">
        <f>+IF($F$1&gt;K$4-1,IF(K57&lt;0,0,MIN(K57,SUM($C$59:K59))-SUM($C$92:J92)),0)</f>
        <v>0</v>
      </c>
      <c r="L92" s="175">
        <f>+IF($F$1&gt;L$4-1,IF(L57&lt;0,0,MIN(L57,SUM($C$59:L59))-SUM($C$92:K92)),0)</f>
        <v>0</v>
      </c>
      <c r="M92" s="175">
        <f>+IF($F$1&gt;M$4-1,IF(M57&lt;0,0,MIN(M57,SUM($C$59:M59))-SUM($C$92:L92)),0)</f>
        <v>0</v>
      </c>
      <c r="N92" s="392">
        <f>+IF($F$1&gt;N$4-1,IF(N57&lt;0,0,MIN(N57,SUM($C$59:N59))-SUM($C$92:M92)),0)</f>
        <v>0</v>
      </c>
      <c r="O92" s="153"/>
      <c r="P92" s="153"/>
      <c r="Q92" s="153"/>
      <c r="R92" s="153"/>
    </row>
    <row r="93" spans="1:18" s="2" customFormat="1" ht="12.75" thickBot="1">
      <c r="A93" s="240" t="s">
        <v>51</v>
      </c>
      <c r="B93" s="165">
        <f t="shared" si="22"/>
        <v>0</v>
      </c>
      <c r="C93" s="394">
        <f>+IF($F$1=12,IF(C57&lt;0,0,MIN(C57,SUM($C$60:C60))),0)</f>
        <v>0</v>
      </c>
      <c r="D93" s="394">
        <f>+IF($F$1=12,IF(D57&lt;0,0,MIN(D57,SUM($C$60:D60))-SUM($C$93:C93)),0)</f>
        <v>0</v>
      </c>
      <c r="E93" s="394">
        <f>+IF($F$1=12,IF(E57&lt;0,0,MIN(E57,SUM($C$60:E60))-SUM($C$93:D93)),0)</f>
        <v>0</v>
      </c>
      <c r="F93" s="394">
        <f>+IF($F$1=12,IF(F57&lt;0,0,MIN(F57,SUM($C$60:F60))-SUM($C$93:E93)),0)</f>
        <v>0</v>
      </c>
      <c r="G93" s="394">
        <f>+IF($F$1=12,IF(G57&lt;0,0,MIN(G57,SUM($C$60:G60))-SUM($C$93:F93)),0)</f>
        <v>0</v>
      </c>
      <c r="H93" s="394">
        <f>+IF($F$1=12,IF(H57&lt;0,0,MIN(H57,SUM($C$60:H60))-SUM($C$93:G93)),0)</f>
        <v>0</v>
      </c>
      <c r="I93" s="394">
        <f>+IF($F$1=12,IF(I57&lt;0,0,MIN(I57,SUM($C$60:I60))-SUM($C$93:H93)),0)</f>
        <v>0</v>
      </c>
      <c r="J93" s="394">
        <f>+IF($F$1=12,IF(J57&lt;0,0,MIN(J57,SUM($C$60:J60))-SUM($C$93:I93)),0)</f>
        <v>0</v>
      </c>
      <c r="K93" s="394">
        <f>+IF($F$1=12,IF(K57&lt;0,0,MIN(K57,SUM($C$60:K60))-SUM($C$93:J93)),0)</f>
        <v>0</v>
      </c>
      <c r="L93" s="394">
        <f>+IF($F$1=12,IF(L57&lt;0,0,MIN(L57,SUM($C$60:L60))-SUM($C$93:K93)),0)</f>
        <v>0</v>
      </c>
      <c r="M93" s="394">
        <f>+IF($F$1=12,IF(M57&lt;0,0,MIN(M57,SUM($C$60:M60))-SUM($C$93:L93)),0)</f>
        <v>0</v>
      </c>
      <c r="N93" s="395">
        <f>+IF($F$1=12,IF(N57&lt;0,0,MIN(N57,SUM($C$60:N60))-SUM($C$93:M93)),0)</f>
        <v>0</v>
      </c>
      <c r="O93" s="153"/>
      <c r="P93" s="153"/>
      <c r="Q93" s="153"/>
      <c r="R93" s="153"/>
    </row>
    <row r="94" spans="1:18" s="2" customFormat="1" ht="15.75" thickBot="1">
      <c r="A94" s="320"/>
      <c r="B94" s="32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53"/>
      <c r="P94" s="153"/>
      <c r="Q94" s="153"/>
      <c r="R94" s="153"/>
    </row>
    <row r="95" spans="1:18" s="2" customFormat="1" ht="12.75" customHeight="1">
      <c r="A95" s="153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</row>
    <row r="96" spans="1:18" s="2" customFormat="1" ht="12">
      <c r="A96" s="153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</row>
    <row r="97" spans="1:18" s="2" customFormat="1" ht="12.75" thickBot="1">
      <c r="A97" s="153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</row>
    <row r="98" spans="1:18" s="2" customFormat="1" ht="15.75" thickBot="1">
      <c r="A98" s="320" t="s">
        <v>186</v>
      </c>
      <c r="B98" s="321"/>
      <c r="C98" s="35" t="str">
        <f>+C5</f>
        <v>Enero</v>
      </c>
      <c r="D98" s="35" t="str">
        <f>+D5</f>
        <v>Febrero</v>
      </c>
      <c r="E98" s="35" t="str">
        <f>+E5</f>
        <v>Marzo</v>
      </c>
      <c r="F98" s="35" t="str">
        <f>+F5</f>
        <v>Abril</v>
      </c>
      <c r="G98" s="35" t="str">
        <f>+G5</f>
        <v>Mayo</v>
      </c>
      <c r="H98" s="35" t="str">
        <f>+H5</f>
        <v>Junio</v>
      </c>
      <c r="I98" s="35" t="str">
        <f>+I5</f>
        <v>Julio</v>
      </c>
      <c r="J98" s="35" t="str">
        <f>+J5</f>
        <v>Agosto</v>
      </c>
      <c r="K98" s="35" t="str">
        <f>+K5</f>
        <v>Septiembre</v>
      </c>
      <c r="L98" s="35" t="str">
        <f>+L5</f>
        <v>Octubre</v>
      </c>
      <c r="M98" s="35" t="str">
        <f>+M5</f>
        <v>Noviembre</v>
      </c>
      <c r="N98" s="35" t="str">
        <f>+N5</f>
        <v>SAC</v>
      </c>
      <c r="O98" s="153"/>
      <c r="P98" s="153"/>
      <c r="Q98" s="153"/>
      <c r="R98" s="153"/>
    </row>
    <row r="99" spans="1:18" s="2" customFormat="1" ht="15">
      <c r="A99" s="310" t="s">
        <v>171</v>
      </c>
      <c r="B99" s="311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53"/>
      <c r="P99" s="153"/>
      <c r="Q99" s="153"/>
      <c r="R99" s="153"/>
    </row>
    <row r="100" spans="1:18" s="2" customFormat="1" ht="15">
      <c r="A100" s="312" t="s">
        <v>171</v>
      </c>
      <c r="B100" s="3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53"/>
      <c r="P100" s="153"/>
      <c r="Q100" s="153"/>
      <c r="R100" s="153"/>
    </row>
    <row r="101" spans="1:18" s="2" customFormat="1" ht="15">
      <c r="A101" s="312" t="s">
        <v>171</v>
      </c>
      <c r="B101" s="3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53"/>
      <c r="P101" s="153"/>
      <c r="Q101" s="153"/>
      <c r="R101" s="153"/>
    </row>
    <row r="102" spans="1:18" s="2" customFormat="1" ht="15">
      <c r="A102" s="312" t="s">
        <v>171</v>
      </c>
      <c r="B102" s="3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53"/>
      <c r="P102" s="153"/>
      <c r="Q102" s="153"/>
      <c r="R102" s="153"/>
    </row>
    <row r="103" spans="1:18" s="2" customFormat="1" ht="15">
      <c r="A103" s="312" t="s">
        <v>171</v>
      </c>
      <c r="B103" s="3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53"/>
      <c r="P103" s="153"/>
      <c r="Q103" s="153"/>
      <c r="R103" s="153"/>
    </row>
    <row r="104" spans="1:18" s="2" customFormat="1" ht="15">
      <c r="A104" s="312" t="s">
        <v>171</v>
      </c>
      <c r="B104" s="3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53"/>
      <c r="P104" s="153"/>
      <c r="Q104" s="153"/>
      <c r="R104" s="153"/>
    </row>
    <row r="105" spans="1:18" s="2" customFormat="1" ht="15">
      <c r="A105" s="312" t="s">
        <v>171</v>
      </c>
      <c r="B105" s="3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53"/>
      <c r="P105" s="153"/>
      <c r="Q105" s="153"/>
      <c r="R105" s="153"/>
    </row>
    <row r="106" spans="1:18" s="2" customFormat="1" ht="15">
      <c r="A106" s="312" t="s">
        <v>175</v>
      </c>
      <c r="B106" s="3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53"/>
      <c r="P106" s="153"/>
      <c r="Q106" s="153"/>
      <c r="R106" s="153"/>
    </row>
    <row r="107" spans="1:18" s="2" customFormat="1" ht="15">
      <c r="A107" s="312" t="s">
        <v>172</v>
      </c>
      <c r="B107" s="3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53"/>
      <c r="P107" s="153"/>
      <c r="Q107" s="153"/>
      <c r="R107" s="153"/>
    </row>
    <row r="108" spans="1:18" s="2" customFormat="1" ht="15">
      <c r="A108" s="312" t="s">
        <v>172</v>
      </c>
      <c r="B108" s="3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53"/>
      <c r="P108" s="153"/>
      <c r="Q108" s="153"/>
      <c r="R108" s="153"/>
    </row>
    <row r="109" spans="1:18" s="2" customFormat="1" ht="15">
      <c r="A109" s="312" t="s">
        <v>172</v>
      </c>
      <c r="B109" s="3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53"/>
      <c r="P109" s="153"/>
      <c r="Q109" s="153"/>
      <c r="R109" s="153"/>
    </row>
    <row r="110" spans="1:18" s="2" customFormat="1" ht="15">
      <c r="A110" s="312" t="s">
        <v>172</v>
      </c>
      <c r="B110" s="3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53"/>
      <c r="P110" s="153"/>
      <c r="Q110" s="153"/>
      <c r="R110" s="153"/>
    </row>
    <row r="111" spans="1:18" s="2" customFormat="1" ht="15">
      <c r="A111" s="312" t="s">
        <v>172</v>
      </c>
      <c r="B111" s="3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53"/>
      <c r="P111" s="153"/>
      <c r="Q111" s="153"/>
      <c r="R111" s="153"/>
    </row>
    <row r="112" spans="1:18" s="2" customFormat="1" ht="15">
      <c r="A112" s="312" t="s">
        <v>176</v>
      </c>
      <c r="B112" s="3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53"/>
      <c r="P112" s="153"/>
      <c r="Q112" s="153"/>
      <c r="R112" s="153"/>
    </row>
    <row r="113" spans="1:18" s="2" customFormat="1" ht="15">
      <c r="A113" s="312" t="s">
        <v>173</v>
      </c>
      <c r="B113" s="3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53"/>
      <c r="P113" s="153"/>
      <c r="Q113" s="153"/>
      <c r="R113" s="153"/>
    </row>
    <row r="114" spans="1:18" s="2" customFormat="1" ht="15">
      <c r="A114" s="312" t="s">
        <v>174</v>
      </c>
      <c r="B114" s="3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53"/>
      <c r="P114" s="153"/>
      <c r="Q114" s="153"/>
      <c r="R114" s="153"/>
    </row>
    <row r="115" spans="1:18" s="2" customFormat="1" ht="15">
      <c r="A115" s="312"/>
      <c r="B115" s="3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53"/>
      <c r="P115" s="153"/>
      <c r="Q115" s="153"/>
      <c r="R115" s="153"/>
    </row>
    <row r="116" spans="1:18" s="2" customFormat="1" ht="15">
      <c r="A116" s="312"/>
      <c r="B116" s="3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53"/>
      <c r="P116" s="153"/>
      <c r="Q116" s="153"/>
      <c r="R116" s="153"/>
    </row>
    <row r="117" spans="1:18" s="2" customFormat="1" ht="15.75" thickBot="1">
      <c r="A117" s="318"/>
      <c r="B117" s="319"/>
      <c r="C117" s="241"/>
      <c r="D117" s="241"/>
      <c r="E117" s="241"/>
      <c r="F117" s="241"/>
      <c r="G117" s="241"/>
      <c r="H117" s="241"/>
      <c r="I117" s="241"/>
      <c r="J117" s="241"/>
      <c r="K117" s="241"/>
      <c r="L117" s="241"/>
      <c r="M117" s="241"/>
      <c r="N117" s="241"/>
      <c r="O117" s="153"/>
      <c r="P117" s="153"/>
      <c r="Q117" s="153"/>
      <c r="R117" s="153"/>
    </row>
    <row r="118" spans="1:18" s="2" customFormat="1" ht="15">
      <c r="A118" s="310" t="s">
        <v>15</v>
      </c>
      <c r="B118" s="311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53"/>
      <c r="P118" s="153"/>
      <c r="Q118" s="153"/>
      <c r="R118" s="153"/>
    </row>
    <row r="119" spans="1:18" s="2" customFormat="1" ht="15">
      <c r="A119" s="312" t="s">
        <v>191</v>
      </c>
      <c r="B119" s="3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53"/>
      <c r="P119" s="153"/>
      <c r="Q119" s="153"/>
      <c r="R119" s="153"/>
    </row>
    <row r="120" spans="1:18" s="2" customFormat="1" ht="15">
      <c r="A120" s="312" t="s">
        <v>192</v>
      </c>
      <c r="B120" s="3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53"/>
      <c r="P120" s="153"/>
      <c r="Q120" s="153"/>
      <c r="R120" s="153"/>
    </row>
    <row r="121" spans="1:18" s="2" customFormat="1" ht="15">
      <c r="A121" s="312" t="s">
        <v>21</v>
      </c>
      <c r="B121" s="3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53"/>
      <c r="P121" s="153"/>
      <c r="Q121" s="153"/>
      <c r="R121" s="153"/>
    </row>
    <row r="122" spans="1:18" s="2" customFormat="1" ht="15.75" thickBot="1">
      <c r="A122" s="314" t="s">
        <v>193</v>
      </c>
      <c r="B122" s="315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53"/>
      <c r="P122" s="153"/>
      <c r="Q122" s="153"/>
      <c r="R122" s="153"/>
    </row>
    <row r="123" spans="1:18" s="2" customFormat="1" ht="12">
      <c r="A123" s="153"/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</row>
    <row r="124" spans="1:18" s="2" customFormat="1" ht="12">
      <c r="A124" s="176" t="s">
        <v>169</v>
      </c>
      <c r="B124" s="177"/>
      <c r="C124" s="178">
        <f>+SUM(C6:C24)-SUM(C15:C17)+SUM(C99:C112)-SUM(C118:C121)+SUM(C27:C28)</f>
        <v>130999.99999999999</v>
      </c>
      <c r="D124" s="178">
        <f>+SUM(D6:D24)-SUM(D15:D17)+SUM(D99:D112)-SUM(D118:D121)+SUM(D27:D28)</f>
        <v>173000</v>
      </c>
      <c r="E124" s="178">
        <f>+SUM(E6:E24)-SUM(E15:E17)+SUM(E99:E112)-SUM(E118:E121)+SUM(E27:E28)</f>
        <v>173000</v>
      </c>
      <c r="F124" s="178">
        <f>+SUM(F6:F24)-SUM(F15:F17)+SUM(F99:F112)-SUM(F118:F121)+SUM(F27:F28)</f>
        <v>100000</v>
      </c>
      <c r="G124" s="178">
        <f>+SUM(G6:G24)-SUM(G15:G17)+SUM(G99:G112)-SUM(G118:G121)+SUM(G27:G28)</f>
        <v>100000</v>
      </c>
      <c r="H124" s="178">
        <f>+SUM(H6:H24)-SUM(H15:H17)+SUM(H99:H112)-SUM(H118:H121)+SUM(H27:H28)</f>
        <v>100000</v>
      </c>
      <c r="I124" s="178">
        <f>+SUM(I6:I24)-SUM(I15:I17)+SUM(I99:I112)-SUM(I118:I121)+SUM(I27:I28)</f>
        <v>130000</v>
      </c>
      <c r="J124" s="178">
        <f>+SUM(J6:J24)-SUM(J15:J17)+SUM(J99:J112)-SUM(J118:J121)+SUM(J27:J28)</f>
        <v>0</v>
      </c>
      <c r="K124" s="178">
        <f>+SUM(K6:K24)-SUM(K15:K17)+SUM(K99:K112)-SUM(K118:K121)+SUM(K27:K28)</f>
        <v>0</v>
      </c>
      <c r="L124" s="178">
        <f>+SUM(L6:L24)-SUM(L15:L17)+SUM(L99:L112)-SUM(L118:L121)+SUM(L27:L28)</f>
        <v>0</v>
      </c>
      <c r="M124" s="178">
        <f>+SUM(M6:M24)-SUM(M15:M17)+SUM(M99:M112)-SUM(M118:M121)+SUM(M27:M28)</f>
        <v>0</v>
      </c>
      <c r="N124" s="178">
        <f>+SUM(N6:O24)-SUM(N15:O17)+SUM(N99:N112)-SUM(N118:N121)+SUM(N27:O28)</f>
        <v>0</v>
      </c>
      <c r="O124" s="153"/>
      <c r="P124" s="153"/>
      <c r="Q124" s="153"/>
      <c r="R124" s="153"/>
    </row>
    <row r="125" spans="1:18" s="2" customFormat="1" ht="12">
      <c r="A125" s="176" t="s">
        <v>170</v>
      </c>
      <c r="B125" s="177"/>
      <c r="C125" s="178">
        <f>IF($F$1&gt;C$4-1,+(SUM($C$6:C24)-SUM($C$15:C17)+SUM($C$99:C112)-SUM($C$118:C121)+SUM($C$27:C28))/C4,0)</f>
        <v>130999.99999999999</v>
      </c>
      <c r="D125" s="178">
        <f>IF($F$1&gt;D$4-1,+(SUM($C$6:D24)-SUM($C$15:D17)+SUM($C$99:D112)-SUM($C$118:D121)+SUM($C$27:D28))/D4,0)</f>
        <v>152000</v>
      </c>
      <c r="E125" s="178">
        <f>IF($F$1&gt;E$4-1,+(SUM($C$6:E24)-SUM($C$15:E17)+SUM($C$99:E112)-SUM($C$118:E121)+SUM($C$27:E28))/E4,0)</f>
        <v>159000</v>
      </c>
      <c r="F125" s="178">
        <f>IF($F$1&gt;F$4-1,+(SUM($C$6:F24)-SUM($C$15:F17)+SUM($C$99:F112)-SUM($C$118:F121)+SUM($C$27:F28))/F4,0)</f>
        <v>144250</v>
      </c>
      <c r="G125" s="178">
        <f>IF($F$1&gt;G$4-1,+(SUM($C$6:G24)-SUM($C$15:G17)+SUM($C$99:G112)-SUM($C$118:G121)+SUM($C$27:G28))/G4,0)</f>
        <v>135400</v>
      </c>
      <c r="H125" s="178">
        <f>IF($F$1&gt;H$4-1,+(SUM($C$6:H24)-SUM($C$15:H17)+SUM($C$99:H112)-SUM($C$118:H121)+SUM($C$27:H28))/H4,0)</f>
        <v>129500</v>
      </c>
      <c r="I125" s="178">
        <f>IF($F$1&gt;I$4-1,+(SUM($C$6:I24)-SUM($C$15:I17)+SUM($C$99:I112)-SUM($C$118:I121)+SUM($C$27:I28))/I4,0)</f>
        <v>129571.42857142857</v>
      </c>
      <c r="J125" s="178">
        <f>IF($F$1&gt;J$4-1,+(SUM($C$6:J24)-SUM($C$15:J17)+SUM($C$99:J112)-SUM($C$118:J121)+SUM($C$27:J28))/J4,0)</f>
        <v>0</v>
      </c>
      <c r="K125" s="178">
        <f>IF($F$1&gt;K$4-1,+(SUM($C$6:K24)-SUM($C$15:K17)+SUM($C$99:K112)-SUM($C$118:K121)+SUM($C$27:K28))/K4,0)</f>
        <v>0</v>
      </c>
      <c r="L125" s="178">
        <f>IF($F$1&gt;L$4-1,+(SUM($C$6:L24)-SUM($C$15:L17)+SUM($C$99:L112)-SUM($C$118:L121)+SUM($C$27:L28))/L4,0)</f>
        <v>0</v>
      </c>
      <c r="M125" s="178">
        <f>IF($F$1&gt;M$4-1,+(SUM($C$6:M24)-SUM($C$15:M17)+SUM($C$99:M112)-SUM($C$118:M121)+SUM($C$27:M28))/M4,0)</f>
        <v>0</v>
      </c>
      <c r="N125" s="178">
        <f>IF($F$1&gt;N$4-1,+(SUM($C$6:O24)-SUM($C$15:O17)+SUM($C$99:N112)-SUM($C$118:N121)+SUM($C$27:O28))/N4,0)</f>
        <v>0</v>
      </c>
      <c r="O125" s="153"/>
      <c r="P125" s="153"/>
      <c r="Q125" s="153"/>
      <c r="R125" s="153"/>
    </row>
    <row r="126" spans="1:18" s="2" customFormat="1" ht="12">
      <c r="A126" s="153"/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</row>
    <row r="127" spans="1:18" s="2" customFormat="1" ht="12">
      <c r="A127" s="255" t="s">
        <v>164</v>
      </c>
      <c r="B127" s="255"/>
      <c r="C127" s="256">
        <f>IF($F$1&gt;C$4-1,MIN(C124,C125),0)</f>
        <v>130999.99999999999</v>
      </c>
      <c r="D127" s="256">
        <f>IF($F$1&gt;D$4-1,MIN(D124,D125),0)</f>
        <v>152000</v>
      </c>
      <c r="E127" s="256">
        <f aca="true" t="shared" si="23" ref="D127:N127">IF($F$1&gt;E$4-1,MIN(E124,E125),0)</f>
        <v>159000</v>
      </c>
      <c r="F127" s="256">
        <f t="shared" si="23"/>
        <v>100000</v>
      </c>
      <c r="G127" s="256">
        <f t="shared" si="23"/>
        <v>100000</v>
      </c>
      <c r="H127" s="256">
        <f t="shared" si="23"/>
        <v>100000</v>
      </c>
      <c r="I127" s="256">
        <f t="shared" si="23"/>
        <v>129571.42857142857</v>
      </c>
      <c r="J127" s="256">
        <f t="shared" si="23"/>
        <v>0</v>
      </c>
      <c r="K127" s="256">
        <f t="shared" si="23"/>
        <v>0</v>
      </c>
      <c r="L127" s="256">
        <f t="shared" si="23"/>
        <v>0</v>
      </c>
      <c r="M127" s="256">
        <f t="shared" si="23"/>
        <v>0</v>
      </c>
      <c r="N127" s="256">
        <f t="shared" si="23"/>
        <v>0</v>
      </c>
      <c r="O127" s="153"/>
      <c r="P127" s="153"/>
      <c r="Q127" s="153"/>
      <c r="R127" s="153"/>
    </row>
    <row r="128" spans="1:18" s="2" customFormat="1" ht="15">
      <c r="A128" s="371" t="s">
        <v>35</v>
      </c>
      <c r="B128" s="372"/>
      <c r="C128" s="179">
        <f>IF($F$1&gt;C$4-1,VLOOKUP($A128,$A$245:$N$260,3,0),0)</f>
        <v>13973.2</v>
      </c>
      <c r="D128" s="179">
        <f>IF($F$1&gt;D$4-1,VLOOKUP($A128,$A$245:$N$260,3,0),0)</f>
        <v>13973.2</v>
      </c>
      <c r="E128" s="179">
        <f>IF($F$1&gt;E$4-1,VLOOKUP($A128,$A$245:$N$260,3,0),0)</f>
        <v>13973.2</v>
      </c>
      <c r="F128" s="179">
        <f>IF($F$1&gt;F$4-1,VLOOKUP($A128,$A$245:$N$260,3,0),0)</f>
        <v>13973.2</v>
      </c>
      <c r="G128" s="179">
        <f>IF($F$1&gt;G$4-1,VLOOKUP($A128,$A$245:$N$260,3,0),0)</f>
        <v>13973.2</v>
      </c>
      <c r="H128" s="179">
        <f>IF($F$1&gt;H$4-1,VLOOKUP($A128,$A$245:$N$260,3,0),0)</f>
        <v>13973.2</v>
      </c>
      <c r="I128" s="179">
        <f>IF($F$1&gt;I$4-1,VLOOKUP($A128,$A$245:$N$260,3,0),0)</f>
        <v>13973.2</v>
      </c>
      <c r="J128" s="179">
        <f>IF($F$1&gt;J$4-1,VLOOKUP($A128,$A$245:$N$260,3,0),0)</f>
        <v>0</v>
      </c>
      <c r="K128" s="179">
        <f>IF($F$1&gt;K$4-1,VLOOKUP($A128,$A$245:$N$260,3,0),0)</f>
        <v>0</v>
      </c>
      <c r="L128" s="179">
        <f>IF($F$1&gt;L$4-1,VLOOKUP($A128,$A$245:$N$260,3,0),0)</f>
        <v>0</v>
      </c>
      <c r="M128" s="179">
        <f>IF($F$1&gt;M$4-1,VLOOKUP($A128,$A$245:$N$260,3,0),0)</f>
        <v>0</v>
      </c>
      <c r="N128" s="179">
        <f>IF($F$1&gt;N$4-1,VLOOKUP($A128,$A$245:$N$260,3,0),0)</f>
        <v>0</v>
      </c>
      <c r="O128" s="153"/>
      <c r="P128" s="153"/>
      <c r="Q128" s="153"/>
      <c r="R128" s="153"/>
    </row>
    <row r="129" spans="1:18" s="2" customFormat="1" ht="15">
      <c r="A129" s="371" t="s">
        <v>38</v>
      </c>
      <c r="B129" s="372"/>
      <c r="C129" s="179">
        <f>IF($F$1&gt;C$4-1,VLOOKUP($A129,$A$245:$N$260,3,0),0)</f>
        <v>67071.36</v>
      </c>
      <c r="D129" s="179">
        <f>IF($F$1&gt;D$4-1,VLOOKUP($A129,$A$245:$N$260,3,0),0)</f>
        <v>67071.36</v>
      </c>
      <c r="E129" s="179">
        <f>IF($F$1&gt;E$4-1,VLOOKUP($A129,$A$245:$N$260,3,0),0)</f>
        <v>67071.36</v>
      </c>
      <c r="F129" s="179">
        <f>IF($F$1&gt;F$4-1,VLOOKUP($A129,$A$245:$N$260,3,0),0)</f>
        <v>67071.36</v>
      </c>
      <c r="G129" s="179">
        <f>IF($F$1&gt;G$4-1,VLOOKUP($A129,$A$245:$N$260,3,0),0)</f>
        <v>67071.36</v>
      </c>
      <c r="H129" s="179">
        <f>IF($F$1&gt;H$4-1,VLOOKUP($A129,$A$245:$N$260,3,0),0)</f>
        <v>67071.36</v>
      </c>
      <c r="I129" s="179">
        <f>IF($F$1&gt;I$4-1,VLOOKUP($A129,$A$245:$N$260,3,0),0)</f>
        <v>67071.36</v>
      </c>
      <c r="J129" s="179">
        <f>IF($F$1&gt;J$4-1,VLOOKUP($A129,$A$245:$N$260,3,0),0)</f>
        <v>0</v>
      </c>
      <c r="K129" s="179">
        <f>IF($F$1&gt;K$4-1,VLOOKUP($A129,$A$245:$N$260,3,0),0)</f>
        <v>0</v>
      </c>
      <c r="L129" s="179">
        <f>IF($F$1&gt;L$4-1,VLOOKUP($A129,$A$245:$N$260,3,0),0)</f>
        <v>0</v>
      </c>
      <c r="M129" s="179">
        <f>IF($F$1&gt;M$4-1,VLOOKUP($A129,$A$245:$N$260,3,0),0)</f>
        <v>0</v>
      </c>
      <c r="N129" s="179">
        <f>IF($F$1&gt;N$4-1,VLOOKUP($A129,$A$245:$N$260,3,0),0)</f>
        <v>0</v>
      </c>
      <c r="O129" s="153"/>
      <c r="P129" s="153"/>
      <c r="Q129" s="153"/>
      <c r="R129" s="153"/>
    </row>
    <row r="130" spans="1:18" s="2" customFormat="1" ht="12">
      <c r="A130" s="153"/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</row>
    <row r="131" spans="1:18" s="2" customFormat="1" ht="15">
      <c r="A131" s="383" t="s">
        <v>165</v>
      </c>
      <c r="B131" s="384"/>
      <c r="C131" s="254">
        <f>IF($F$1&gt;C$4-1,SUM(C6:C26)+SUM(C30:C31)-SUM(C34:C36)-SUM(C38:C38)-SUM(C77:C94)-SUM(C128,C129)+SUM(C99:C113)-SUM(C118:C121),0)</f>
        <v>32890.79124166665</v>
      </c>
      <c r="D131" s="254">
        <f>IF($F$1&gt;D$4-1,SUM(D6:D26)+SUM(D30:D31)-SUM(D34:D36)-SUM(D38:D38)-SUM(D77:D94)-SUM(D128,D129)+SUM(D99:D113)-SUM(D118:D121),0)</f>
        <v>70762.94333333333</v>
      </c>
      <c r="E131" s="254">
        <f>IF($F$1&gt;E$4-1,SUM(E6:E26)+SUM(E30:E31)-SUM(E34:E36)-SUM(E38:E38)-SUM(E77:E94)-SUM(E128,E129)+SUM(E99:E113)-SUM(E118:E121),0)</f>
        <v>70762.94333333333</v>
      </c>
      <c r="F131" s="254">
        <f>IF($F$1&gt;F$4-1,SUM(F6:F26)+SUM(F30:F31)-SUM(F34:F36)-SUM(F38:F38)-SUM(F77:F94)-SUM(F128,F129)+SUM(F99:F113)-SUM(F118:F121),0)</f>
        <v>6705.436666666676</v>
      </c>
      <c r="G131" s="254">
        <f>IF($F$1&gt;G$4-1,SUM(G6:G26)+SUM(G30:G31)-SUM(G34:G36)-SUM(G38:G38)-SUM(G77:G94)-SUM(G128,G129)+SUM(G99:G113)-SUM(G118:G121),0)</f>
        <v>6705.436666666676</v>
      </c>
      <c r="H131" s="254">
        <f>IF($F$1&gt;H$4-1,SUM(H6:H26)+SUM(H30:H31)-SUM(H34:H36)-SUM(H38:H38)-SUM(H77:H94)-SUM(H128,H129)+SUM(H99:H113)-SUM(H118:H121),0)</f>
        <v>-50592.41394166666</v>
      </c>
      <c r="I131" s="254">
        <f>IF($F$1&gt;I$4-1,SUM(I6:I26)+SUM(I30:I31)-SUM(I34:I36)-SUM(I38:I38)-SUM(I77:I94)-SUM(I128,I129)+SUM(I99:I113)-SUM(I118:I121),0)</f>
        <v>33030.436666666676</v>
      </c>
      <c r="J131" s="254">
        <f>IF($F$1&gt;J$4-1,SUM(J6:J26)+SUM(J30:J31)-SUM(J34:J36)-SUM(J38:J38)-SUM(J77:J94)-SUM(J128,J129)+SUM(J99:J113)-SUM(J118:J121),0)</f>
        <v>0</v>
      </c>
      <c r="K131" s="254">
        <f>IF($F$1&gt;K$4-1,SUM(K6:K26)+SUM(K30:K31)-SUM(K34:K36)-SUM(K38:K38)-SUM(K77:K94)-SUM(K128,K129)+SUM(K99:K113)-SUM(K118:K121),0)</f>
        <v>0</v>
      </c>
      <c r="L131" s="254">
        <f>IF($F$1&gt;L$4-1,SUM(L6:L26)+SUM(L30:L31)-SUM(L34:L36)-SUM(L38:L38)-SUM(L77:L94)-SUM(L128,L129)+SUM(L99:L113)-SUM(L118:L121),0)</f>
        <v>0</v>
      </c>
      <c r="M131" s="254">
        <f>IF($F$1&gt;M$4-1,SUM(M6:M26)+SUM(M30:M31)-SUM(M34:M36)-SUM(M38:M38)-SUM(M77:M94)-SUM(M128,M129)+SUM(M99:M113)-SUM(M118:M121),0)</f>
        <v>0</v>
      </c>
      <c r="N131" s="254">
        <f>IF($F$1&gt;N$4-1,SUM(N6:O26)+SUM(N30:O31)-SUM(N34:O36)-SUM(N38:O38)-SUM(N77:N94)-SUM(N128,N129)+SUM(N99:N113)-SUM(N118:N121),0)</f>
        <v>0</v>
      </c>
      <c r="O131" s="153"/>
      <c r="P131" s="153"/>
      <c r="Q131" s="153"/>
      <c r="R131" s="153"/>
    </row>
    <row r="132" spans="1:18" s="2" customFormat="1" ht="15">
      <c r="A132" s="371" t="s">
        <v>157</v>
      </c>
      <c r="B132" s="372"/>
      <c r="C132" s="179">
        <f>+IF(IF(C127&gt;150000,0,C131)&gt;0,IF(C127&gt;150000,0,C131),0)</f>
        <v>32890.79124166665</v>
      </c>
      <c r="D132" s="179">
        <f>+IF(IF(D127&gt;150000,0,D131)&gt;0,IF(D127&gt;150000,0,D131),0)</f>
        <v>0</v>
      </c>
      <c r="E132" s="179">
        <f>+IF(IF(E127&gt;150000,0,E131)&gt;0,IF(E127&gt;150000,0,E131),0)</f>
        <v>0</v>
      </c>
      <c r="F132" s="179">
        <f>+IF(IF(F127&gt;150000,0,F131)&gt;0,IF(F127&gt;150000,0,F131),0)</f>
        <v>6705.436666666676</v>
      </c>
      <c r="G132" s="179">
        <f aca="true" t="shared" si="24" ref="G132:N132">+IF(IF(G127&gt;150000,0,G131)&gt;0,IF(G127&gt;150000,0,G131),0)</f>
        <v>6705.436666666676</v>
      </c>
      <c r="H132" s="179">
        <f t="shared" si="24"/>
        <v>0</v>
      </c>
      <c r="I132" s="179">
        <f t="shared" si="24"/>
        <v>33030.436666666676</v>
      </c>
      <c r="J132" s="179">
        <f t="shared" si="24"/>
        <v>0</v>
      </c>
      <c r="K132" s="179">
        <f t="shared" si="24"/>
        <v>0</v>
      </c>
      <c r="L132" s="179">
        <f t="shared" si="24"/>
        <v>0</v>
      </c>
      <c r="M132" s="179">
        <f t="shared" si="24"/>
        <v>0</v>
      </c>
      <c r="N132" s="179">
        <f t="shared" si="24"/>
        <v>0</v>
      </c>
      <c r="O132" s="153"/>
      <c r="P132" s="153"/>
      <c r="Q132" s="153"/>
      <c r="R132" s="153"/>
    </row>
    <row r="133" spans="1:18" s="2" customFormat="1" ht="15">
      <c r="A133" s="371" t="s">
        <v>158</v>
      </c>
      <c r="B133" s="372"/>
      <c r="C133" s="179">
        <f>IF($F$1&gt;C$4-1,IF(C127&gt;1730000,0,IF(C127&gt;150000,LOOKUP(C127,$A$290:$B$519),0)),0)</f>
        <v>0</v>
      </c>
      <c r="D133" s="179">
        <f>IF($F$1&gt;D$4-1,IF(D127&gt;1730000,0,IF(D127&gt;150000,LOOKUP(D127,$A$290:$B$519),0)),0)</f>
        <v>37732</v>
      </c>
      <c r="E133" s="179">
        <f>IF($F$1&gt;E$4-1,IF(E127&gt;1730000,0,IF(E127&gt;150000,LOOKUP(E127,$A$290:$B$519),0)),0)</f>
        <v>23511</v>
      </c>
      <c r="F133" s="179">
        <f>IF($F$1&gt;F$4-1,IF(F127&gt;1730000,0,IF(F127&gt;150000,LOOKUP(F127,$A$290:$B$519),0)),0)</f>
        <v>0</v>
      </c>
      <c r="G133" s="179">
        <f>IF($F$1&gt;G$4-1,IF(G127&gt;1730000,0,IF(G127&gt;150000,LOOKUP(G127,$A$290:$B$519),0)),0)</f>
        <v>0</v>
      </c>
      <c r="H133" s="179">
        <f>IF($F$1&gt;H$4-1,IF(H127&gt;1730000,0,IF(H127&gt;150000,LOOKUP(H127,$A$290:$B$519),0)),0)</f>
        <v>0</v>
      </c>
      <c r="I133" s="179">
        <f>IF($F$1&gt;I$4-1,IF(I127&gt;1730000,0,IF(I127&gt;150000,LOOKUP(I127,$A$290:$B$519),0)),0)</f>
        <v>0</v>
      </c>
      <c r="J133" s="179">
        <f>IF($F$1&gt;J$4-1,IF(J127&gt;1730000,0,IF(J127&gt;150000,LOOKUP(J127,$A$290:$B$519),0)),0)</f>
        <v>0</v>
      </c>
      <c r="K133" s="179">
        <f>IF($F$1&gt;K$4-1,IF(K127&gt;1730000,0,IF(K127&gt;150000,LOOKUP(K127,$A$290:$B$519),0)),0)</f>
        <v>0</v>
      </c>
      <c r="L133" s="179">
        <f>IF($F$1&gt;L$4-1,IF(L127&gt;1730000,0,IF(L127&gt;150000,LOOKUP(L127,$A$290:$B$519),0)),0)</f>
        <v>0</v>
      </c>
      <c r="M133" s="179">
        <f>IF($F$1&gt;M$4-1,IF(M127&gt;1730000,0,IF(M127&gt;150000,LOOKUP(M127,$A$290:$B$519),0)),0)</f>
        <v>0</v>
      </c>
      <c r="N133" s="179">
        <f>IF($F$1&gt;N$4-1,IF(N127&gt;1730000,0,IF(N127&gt;150000,LOOKUP(N127,$A$290:$B$519),0)),0)</f>
        <v>0</v>
      </c>
      <c r="O133" s="153"/>
      <c r="P133" s="153"/>
      <c r="Q133" s="153"/>
      <c r="R133" s="153"/>
    </row>
    <row r="134" spans="1:18" s="2" customFormat="1" ht="12">
      <c r="A134" s="153"/>
      <c r="B134" s="153"/>
      <c r="C134" s="153"/>
      <c r="D134" s="397"/>
      <c r="E134" s="397"/>
      <c r="F134" s="153"/>
      <c r="G134" s="153"/>
      <c r="H134" s="397"/>
      <c r="I134" s="153"/>
      <c r="J134" s="153"/>
      <c r="K134" s="154"/>
      <c r="L134" s="153"/>
      <c r="M134" s="153"/>
      <c r="N134" s="153"/>
      <c r="O134" s="153"/>
      <c r="P134" s="153"/>
      <c r="Q134" s="153"/>
      <c r="R134" s="153"/>
    </row>
    <row r="135" spans="1:18" s="2" customFormat="1" ht="12">
      <c r="A135" s="153"/>
      <c r="B135" s="153"/>
      <c r="C135" s="153"/>
      <c r="D135" s="154"/>
      <c r="E135" s="154"/>
      <c r="F135" s="153"/>
      <c r="G135" s="153"/>
      <c r="H135" s="154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</row>
    <row r="136" spans="1:18" s="2" customFormat="1" ht="12.75" thickBot="1">
      <c r="A136" s="153"/>
      <c r="B136" s="153"/>
      <c r="C136" s="153"/>
      <c r="D136" s="154"/>
      <c r="E136" s="154"/>
      <c r="F136" s="153"/>
      <c r="G136" s="153"/>
      <c r="H136" s="154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</row>
    <row r="137" spans="1:18" s="2" customFormat="1" ht="12.75" thickBot="1">
      <c r="A137" s="153"/>
      <c r="B137" s="153"/>
      <c r="C137" s="364" t="s">
        <v>34</v>
      </c>
      <c r="D137" s="365"/>
      <c r="E137" s="365"/>
      <c r="F137" s="365"/>
      <c r="G137" s="366"/>
      <c r="H137" s="153"/>
      <c r="I137" s="153"/>
      <c r="J137" s="367" t="s">
        <v>63</v>
      </c>
      <c r="K137" s="368"/>
      <c r="L137" s="368"/>
      <c r="M137" s="386" t="s">
        <v>59</v>
      </c>
      <c r="N137" s="386" t="s">
        <v>60</v>
      </c>
      <c r="O137" s="386" t="s">
        <v>61</v>
      </c>
      <c r="P137" s="153"/>
      <c r="Q137" s="153"/>
      <c r="R137" s="153"/>
    </row>
    <row r="138" spans="1:18" s="2" customFormat="1" ht="12.75" thickBot="1">
      <c r="A138" s="153"/>
      <c r="B138" s="153"/>
      <c r="C138" s="218" t="s">
        <v>52</v>
      </c>
      <c r="D138" s="217" t="s">
        <v>53</v>
      </c>
      <c r="E138" s="219" t="s">
        <v>54</v>
      </c>
      <c r="F138" s="217" t="s">
        <v>55</v>
      </c>
      <c r="G138" s="220" t="s">
        <v>56</v>
      </c>
      <c r="H138" s="153"/>
      <c r="I138" s="153"/>
      <c r="J138" s="369" t="str">
        <f>+A6</f>
        <v>Sueldo Fijo</v>
      </c>
      <c r="K138" s="370"/>
      <c r="L138" s="370"/>
      <c r="M138" s="194"/>
      <c r="N138" s="194">
        <f>+P6</f>
        <v>906000</v>
      </c>
      <c r="O138" s="194">
        <f aca="true" t="shared" si="25" ref="O138:O157">+M138+N138</f>
        <v>906000</v>
      </c>
      <c r="P138" s="153"/>
      <c r="Q138" s="153"/>
      <c r="R138" s="153"/>
    </row>
    <row r="139" spans="1:18" s="2" customFormat="1" ht="12">
      <c r="A139" s="153"/>
      <c r="B139" s="153"/>
      <c r="C139" s="199">
        <f aca="true" t="shared" si="26" ref="C139:C147">+ROUND(E266/12*$F$1,2)</f>
        <v>0</v>
      </c>
      <c r="D139" s="199">
        <f aca="true" t="shared" si="27" ref="D139:D147">+ROUND(F266/12*$F$1,2)</f>
        <v>37644.04</v>
      </c>
      <c r="E139" s="199">
        <f aca="true" t="shared" si="28" ref="E139:E147">+ROUND(G266/12*$F$1,2)</f>
        <v>0</v>
      </c>
      <c r="F139" s="200">
        <f aca="true" t="shared" si="29" ref="F139:F147">+H266</f>
        <v>5</v>
      </c>
      <c r="G139" s="201">
        <f aca="true" t="shared" si="30" ref="G139:G147">+ROUND(I266/12*$F$1,2)</f>
        <v>0</v>
      </c>
      <c r="H139" s="153"/>
      <c r="I139" s="153"/>
      <c r="J139" s="362" t="str">
        <f>+A7</f>
        <v>Novedades del mes</v>
      </c>
      <c r="K139" s="363"/>
      <c r="L139" s="363"/>
      <c r="M139" s="186"/>
      <c r="N139" s="186">
        <f>+P7</f>
        <v>0</v>
      </c>
      <c r="O139" s="186">
        <f t="shared" si="25"/>
        <v>0</v>
      </c>
      <c r="P139" s="153"/>
      <c r="Q139" s="153"/>
      <c r="R139" s="153"/>
    </row>
    <row r="140" spans="1:18" s="2" customFormat="1" ht="12">
      <c r="A140" s="153"/>
      <c r="B140" s="153"/>
      <c r="C140" s="202">
        <f t="shared" si="26"/>
        <v>37644.04</v>
      </c>
      <c r="D140" s="202">
        <f t="shared" si="27"/>
        <v>75288.08</v>
      </c>
      <c r="E140" s="202">
        <f t="shared" si="28"/>
        <v>1882.2</v>
      </c>
      <c r="F140" s="203">
        <f t="shared" si="29"/>
        <v>9</v>
      </c>
      <c r="G140" s="157">
        <f t="shared" si="30"/>
        <v>37644.04</v>
      </c>
      <c r="H140" s="153"/>
      <c r="I140" s="153"/>
      <c r="J140" s="362" t="str">
        <f>+A8</f>
        <v>HORAS EXTRAS 100% EXCENTAS</v>
      </c>
      <c r="K140" s="363"/>
      <c r="L140" s="363"/>
      <c r="M140" s="186"/>
      <c r="N140" s="186">
        <f>+P8*0.5</f>
        <v>0</v>
      </c>
      <c r="O140" s="186">
        <f t="shared" si="25"/>
        <v>0</v>
      </c>
      <c r="P140" s="153"/>
      <c r="Q140" s="153"/>
      <c r="R140" s="153"/>
    </row>
    <row r="141" spans="1:18" s="2" customFormat="1" ht="12">
      <c r="A141" s="153"/>
      <c r="B141" s="153"/>
      <c r="C141" s="202">
        <f t="shared" si="26"/>
        <v>75288.08</v>
      </c>
      <c r="D141" s="202">
        <f t="shared" si="27"/>
        <v>112932.12</v>
      </c>
      <c r="E141" s="202">
        <f t="shared" si="28"/>
        <v>5270.17</v>
      </c>
      <c r="F141" s="203">
        <f t="shared" si="29"/>
        <v>12</v>
      </c>
      <c r="G141" s="157">
        <f t="shared" si="30"/>
        <v>75288.08</v>
      </c>
      <c r="H141" s="153"/>
      <c r="I141" s="153"/>
      <c r="J141" s="362" t="str">
        <f>+A9</f>
        <v>HORAS EXTRAS 50% EXCENTAS</v>
      </c>
      <c r="K141" s="363"/>
      <c r="L141" s="363"/>
      <c r="M141" s="186"/>
      <c r="N141" s="186">
        <f>+P9*0.666666667</f>
        <v>0</v>
      </c>
      <c r="O141" s="186">
        <f t="shared" si="25"/>
        <v>0</v>
      </c>
      <c r="P141" s="153"/>
      <c r="Q141" s="153"/>
      <c r="R141" s="153"/>
    </row>
    <row r="142" spans="1:18" s="2" customFormat="1" ht="12">
      <c r="A142" s="153"/>
      <c r="B142" s="153"/>
      <c r="C142" s="202">
        <f t="shared" si="26"/>
        <v>112932.12</v>
      </c>
      <c r="D142" s="202">
        <f t="shared" si="27"/>
        <v>150576.16</v>
      </c>
      <c r="E142" s="202">
        <f t="shared" si="28"/>
        <v>9787.45</v>
      </c>
      <c r="F142" s="203">
        <f t="shared" si="29"/>
        <v>15</v>
      </c>
      <c r="G142" s="157">
        <f t="shared" si="30"/>
        <v>112932.12</v>
      </c>
      <c r="H142" s="153"/>
      <c r="I142" s="153"/>
      <c r="J142" s="362" t="str">
        <f>+A10</f>
        <v>HORAS EXTRAS 50%</v>
      </c>
      <c r="K142" s="363"/>
      <c r="L142" s="363"/>
      <c r="M142" s="186"/>
      <c r="N142" s="186">
        <f>+P10</f>
        <v>0</v>
      </c>
      <c r="O142" s="186">
        <f t="shared" si="25"/>
        <v>0</v>
      </c>
      <c r="P142" s="153"/>
      <c r="Q142" s="153"/>
      <c r="R142" s="153"/>
    </row>
    <row r="143" spans="1:18" s="2" customFormat="1" ht="12">
      <c r="A143" s="153"/>
      <c r="B143" s="153"/>
      <c r="C143" s="202">
        <f t="shared" si="26"/>
        <v>150576.16</v>
      </c>
      <c r="D143" s="202">
        <f t="shared" si="27"/>
        <v>225864.24</v>
      </c>
      <c r="E143" s="202">
        <f t="shared" si="28"/>
        <v>15434.06</v>
      </c>
      <c r="F143" s="203">
        <f t="shared" si="29"/>
        <v>19</v>
      </c>
      <c r="G143" s="157">
        <f t="shared" si="30"/>
        <v>150576.16</v>
      </c>
      <c r="H143" s="153"/>
      <c r="I143" s="153"/>
      <c r="J143" s="362" t="str">
        <f>+A11</f>
        <v>Bono Productividad </v>
      </c>
      <c r="K143" s="363"/>
      <c r="L143" s="363"/>
      <c r="M143" s="186"/>
      <c r="N143" s="186">
        <f>+P11+P25</f>
        <v>0</v>
      </c>
      <c r="O143" s="186">
        <f t="shared" si="25"/>
        <v>0</v>
      </c>
      <c r="P143" s="153"/>
      <c r="Q143" s="153"/>
      <c r="R143" s="153"/>
    </row>
    <row r="144" spans="1:18" s="2" customFormat="1" ht="15" customHeight="1">
      <c r="A144" s="153"/>
      <c r="B144" s="153"/>
      <c r="C144" s="202">
        <f t="shared" si="26"/>
        <v>225864.24</v>
      </c>
      <c r="D144" s="202">
        <f t="shared" si="27"/>
        <v>301152.32</v>
      </c>
      <c r="E144" s="202">
        <f t="shared" si="28"/>
        <v>29738.79</v>
      </c>
      <c r="F144" s="203">
        <f t="shared" si="29"/>
        <v>23</v>
      </c>
      <c r="G144" s="157">
        <f t="shared" si="30"/>
        <v>225864.24</v>
      </c>
      <c r="H144" s="153"/>
      <c r="I144" s="153"/>
      <c r="J144" s="362" t="str">
        <f>+A12</f>
        <v>Vacaciones</v>
      </c>
      <c r="K144" s="363"/>
      <c r="L144" s="363"/>
      <c r="M144" s="186"/>
      <c r="N144" s="186">
        <f>+P12</f>
        <v>0</v>
      </c>
      <c r="O144" s="186">
        <f t="shared" si="25"/>
        <v>0</v>
      </c>
      <c r="P144" s="153"/>
      <c r="Q144" s="153"/>
      <c r="R144" s="153"/>
    </row>
    <row r="145" spans="1:18" s="2" customFormat="1" ht="15" customHeight="1">
      <c r="A145" s="153"/>
      <c r="B145" s="153"/>
      <c r="C145" s="202">
        <f t="shared" si="26"/>
        <v>301152.32</v>
      </c>
      <c r="D145" s="202">
        <f t="shared" si="27"/>
        <v>451728.48</v>
      </c>
      <c r="E145" s="202">
        <f t="shared" si="28"/>
        <v>47055.05</v>
      </c>
      <c r="F145" s="203">
        <f t="shared" si="29"/>
        <v>27</v>
      </c>
      <c r="G145" s="157">
        <f t="shared" si="30"/>
        <v>301152.32</v>
      </c>
      <c r="H145" s="153"/>
      <c r="I145" s="153"/>
      <c r="J145" s="303" t="str">
        <f>+A13</f>
        <v>Dto Vacaciones</v>
      </c>
      <c r="K145" s="353"/>
      <c r="L145" s="354"/>
      <c r="M145" s="186"/>
      <c r="N145" s="186">
        <f>+P13</f>
        <v>0</v>
      </c>
      <c r="O145" s="186">
        <f t="shared" si="25"/>
        <v>0</v>
      </c>
      <c r="P145" s="153"/>
      <c r="Q145" s="153"/>
      <c r="R145" s="153"/>
    </row>
    <row r="146" spans="1:18" s="2" customFormat="1" ht="15" customHeight="1">
      <c r="A146" s="153"/>
      <c r="B146" s="153"/>
      <c r="C146" s="202">
        <f t="shared" si="26"/>
        <v>451728.48</v>
      </c>
      <c r="D146" s="202">
        <f t="shared" si="27"/>
        <v>602304.64</v>
      </c>
      <c r="E146" s="202">
        <f t="shared" si="28"/>
        <v>87710.61</v>
      </c>
      <c r="F146" s="203">
        <f t="shared" si="29"/>
        <v>31</v>
      </c>
      <c r="G146" s="157">
        <f t="shared" si="30"/>
        <v>451728.48</v>
      </c>
      <c r="H146" s="153"/>
      <c r="I146" s="153"/>
      <c r="J146" s="303" t="str">
        <f>+A17</f>
        <v>Sac Bono productividad</v>
      </c>
      <c r="K146" s="353"/>
      <c r="L146" s="354"/>
      <c r="M146" s="186"/>
      <c r="N146" s="186">
        <f>+P17</f>
        <v>83.33</v>
      </c>
      <c r="O146" s="186">
        <f t="shared" si="25"/>
        <v>83.33</v>
      </c>
      <c r="P146" s="153"/>
      <c r="Q146" s="153"/>
      <c r="R146" s="153"/>
    </row>
    <row r="147" spans="1:18" s="2" customFormat="1" ht="15.75" customHeight="1" thickBot="1">
      <c r="A147" s="153"/>
      <c r="B147" s="153"/>
      <c r="C147" s="204">
        <f t="shared" si="26"/>
        <v>602304.64</v>
      </c>
      <c r="D147" s="204">
        <f t="shared" si="27"/>
        <v>583333332.75</v>
      </c>
      <c r="E147" s="204">
        <f t="shared" si="28"/>
        <v>134389.22</v>
      </c>
      <c r="F147" s="205">
        <f t="shared" si="29"/>
        <v>35</v>
      </c>
      <c r="G147" s="206">
        <f t="shared" si="30"/>
        <v>602304.64</v>
      </c>
      <c r="H147" s="153"/>
      <c r="I147" s="153"/>
      <c r="J147" s="303" t="str">
        <f>+A14</f>
        <v>Gratificacion/Premio Prorrateable</v>
      </c>
      <c r="K147" s="353"/>
      <c r="L147" s="354"/>
      <c r="M147" s="186"/>
      <c r="N147" s="186">
        <f>+O280</f>
        <v>0</v>
      </c>
      <c r="O147" s="186">
        <f t="shared" si="25"/>
        <v>0</v>
      </c>
      <c r="P147" s="153"/>
      <c r="Q147" s="153"/>
      <c r="R147" s="153"/>
    </row>
    <row r="148" spans="1:18" s="2" customFormat="1" ht="15" customHeight="1">
      <c r="A148" s="153"/>
      <c r="B148" s="153"/>
      <c r="C148" s="153"/>
      <c r="D148" s="153"/>
      <c r="E148" s="153"/>
      <c r="F148" s="153"/>
      <c r="G148" s="153"/>
      <c r="H148" s="153"/>
      <c r="I148" s="153"/>
      <c r="J148" s="303" t="str">
        <f>+A15</f>
        <v>SAC Gratificacion Premio Prorrateable</v>
      </c>
      <c r="K148" s="353"/>
      <c r="L148" s="354"/>
      <c r="M148" s="186"/>
      <c r="N148" s="186">
        <f>+O281</f>
        <v>0</v>
      </c>
      <c r="O148" s="186">
        <f t="shared" si="25"/>
        <v>0</v>
      </c>
      <c r="P148" s="153"/>
      <c r="Q148" s="153"/>
      <c r="R148" s="153"/>
    </row>
    <row r="149" spans="1:18" s="2" customFormat="1" ht="15" customHeight="1">
      <c r="A149" s="153"/>
      <c r="B149" s="153"/>
      <c r="C149" s="153"/>
      <c r="D149" s="153"/>
      <c r="E149" s="153"/>
      <c r="F149" s="153"/>
      <c r="G149" s="153"/>
      <c r="H149" s="153"/>
      <c r="I149" s="153"/>
      <c r="J149" s="303" t="str">
        <f>+A16</f>
        <v>SAC </v>
      </c>
      <c r="K149" s="353"/>
      <c r="L149" s="354"/>
      <c r="M149" s="186"/>
      <c r="N149" s="186">
        <f>+P16+P26</f>
        <v>11500</v>
      </c>
      <c r="O149" s="186">
        <f t="shared" si="25"/>
        <v>11500</v>
      </c>
      <c r="P149" s="153"/>
      <c r="Q149" s="153"/>
      <c r="R149" s="153"/>
    </row>
    <row r="150" spans="1:18" s="2" customFormat="1" ht="12.75" thickBot="1">
      <c r="A150" s="153"/>
      <c r="B150" s="153"/>
      <c r="C150" s="153"/>
      <c r="D150" s="153"/>
      <c r="E150" s="153"/>
      <c r="F150" s="153"/>
      <c r="G150" s="153"/>
      <c r="H150" s="153"/>
      <c r="I150" s="153"/>
      <c r="J150" s="303"/>
      <c r="K150" s="353"/>
      <c r="L150" s="354"/>
      <c r="M150" s="186"/>
      <c r="N150" s="186"/>
      <c r="O150" s="186"/>
      <c r="P150" s="153"/>
      <c r="Q150" s="153"/>
      <c r="R150" s="153"/>
    </row>
    <row r="151" spans="1:18" s="2" customFormat="1" ht="15.75" customHeight="1" thickBot="1">
      <c r="A151" s="221" t="s">
        <v>57</v>
      </c>
      <c r="B151" s="221"/>
      <c r="C151" s="222" t="s">
        <v>58</v>
      </c>
      <c r="D151" s="153"/>
      <c r="E151" s="153"/>
      <c r="F151" s="153"/>
      <c r="G151" s="153"/>
      <c r="H151" s="153"/>
      <c r="I151" s="153"/>
      <c r="J151" s="303">
        <f>+A22</f>
      </c>
      <c r="K151" s="353"/>
      <c r="L151" s="354"/>
      <c r="M151" s="186"/>
      <c r="N151" s="186">
        <f>+P22</f>
        <v>0</v>
      </c>
      <c r="O151" s="186">
        <f t="shared" si="25"/>
        <v>0</v>
      </c>
      <c r="P151" s="153"/>
      <c r="Q151" s="153"/>
      <c r="R151" s="153"/>
    </row>
    <row r="152" spans="1:18" s="2" customFormat="1" ht="15" customHeight="1" thickBot="1">
      <c r="A152" s="377" t="s">
        <v>36</v>
      </c>
      <c r="B152" s="378"/>
      <c r="C152" s="142">
        <f>+B77</f>
        <v>0</v>
      </c>
      <c r="D152" s="153"/>
      <c r="E152" s="153"/>
      <c r="F152" s="153"/>
      <c r="G152" s="153"/>
      <c r="H152" s="153"/>
      <c r="I152" s="153"/>
      <c r="J152" s="303" t="str">
        <f>+A23</f>
        <v>Conceptos indemnizatorios Gravados</v>
      </c>
      <c r="K152" s="353"/>
      <c r="L152" s="354"/>
      <c r="M152" s="186"/>
      <c r="N152" s="186">
        <f>+P23</f>
        <v>0</v>
      </c>
      <c r="O152" s="186">
        <f t="shared" si="25"/>
        <v>0</v>
      </c>
      <c r="P152" s="153"/>
      <c r="Q152" s="153"/>
      <c r="R152" s="153"/>
    </row>
    <row r="153" spans="1:18" s="2" customFormat="1" ht="15" customHeight="1" thickBot="1">
      <c r="A153" s="377" t="s">
        <v>37</v>
      </c>
      <c r="B153" s="378"/>
      <c r="C153" s="142">
        <f>+B78</f>
        <v>0</v>
      </c>
      <c r="D153" s="153"/>
      <c r="E153" s="153"/>
      <c r="F153" s="153"/>
      <c r="G153" s="153"/>
      <c r="H153" s="153"/>
      <c r="I153" s="153"/>
      <c r="J153" s="303" t="str">
        <f>+A27</f>
        <v>Gratificaciones por Cese / Indemn</v>
      </c>
      <c r="K153" s="353"/>
      <c r="L153" s="354"/>
      <c r="M153" s="186"/>
      <c r="N153" s="186">
        <v>0</v>
      </c>
      <c r="O153" s="186">
        <v>0</v>
      </c>
      <c r="P153" s="153"/>
      <c r="Q153" s="153"/>
      <c r="R153" s="153"/>
    </row>
    <row r="154" spans="1:18" s="2" customFormat="1" ht="15" customHeight="1" thickBot="1">
      <c r="A154" s="377" t="s">
        <v>163</v>
      </c>
      <c r="B154" s="378"/>
      <c r="C154" s="142">
        <f>+B79</f>
        <v>0</v>
      </c>
      <c r="D154" s="153"/>
      <c r="E154" s="153"/>
      <c r="F154" s="153"/>
      <c r="G154" s="153"/>
      <c r="H154" s="153"/>
      <c r="I154" s="153"/>
      <c r="J154" s="195"/>
      <c r="K154" s="196"/>
      <c r="L154" s="197"/>
      <c r="M154" s="186"/>
      <c r="N154" s="186"/>
      <c r="O154" s="186"/>
      <c r="P154" s="153"/>
      <c r="Q154" s="153"/>
      <c r="R154" s="153"/>
    </row>
    <row r="155" spans="1:18" s="2" customFormat="1" ht="15.75" customHeight="1" thickBot="1">
      <c r="A155" s="377" t="s">
        <v>39</v>
      </c>
      <c r="B155" s="378"/>
      <c r="C155" s="142">
        <f>+B82</f>
        <v>0</v>
      </c>
      <c r="D155" s="153"/>
      <c r="E155" s="153"/>
      <c r="F155" s="153"/>
      <c r="G155" s="153"/>
      <c r="H155" s="153"/>
      <c r="I155" s="153"/>
      <c r="J155" s="303" t="str">
        <f>+A28</f>
        <v>Beneficios Sanidad Excentos IG</v>
      </c>
      <c r="K155" s="353"/>
      <c r="L155" s="354"/>
      <c r="M155" s="186"/>
      <c r="N155" s="186">
        <f>+P28</f>
        <v>0</v>
      </c>
      <c r="O155" s="186">
        <v>0</v>
      </c>
      <c r="P155" s="153"/>
      <c r="Q155" s="153"/>
      <c r="R155" s="153"/>
    </row>
    <row r="156" spans="1:18" s="2" customFormat="1" ht="15.75" customHeight="1" thickBot="1">
      <c r="A156" s="377" t="s">
        <v>104</v>
      </c>
      <c r="B156" s="378"/>
      <c r="C156" s="142">
        <f>+B83</f>
        <v>0</v>
      </c>
      <c r="D156" s="153"/>
      <c r="E156" s="153"/>
      <c r="F156" s="153"/>
      <c r="G156" s="153"/>
      <c r="H156" s="153"/>
      <c r="I156" s="153"/>
      <c r="J156" s="305" t="str">
        <f>+A30</f>
        <v>SAC imputacion mensual</v>
      </c>
      <c r="K156" s="355"/>
      <c r="L156" s="356"/>
      <c r="M156" s="198"/>
      <c r="N156" s="198">
        <f>+P30</f>
        <v>10833.33</v>
      </c>
      <c r="O156" s="198">
        <f t="shared" si="25"/>
        <v>10833.33</v>
      </c>
      <c r="P156" s="153"/>
      <c r="Q156" s="153"/>
      <c r="R156" s="153"/>
    </row>
    <row r="157" spans="1:18" s="2" customFormat="1" ht="15.75" customHeight="1" thickBot="1">
      <c r="A157" s="377" t="s">
        <v>131</v>
      </c>
      <c r="B157" s="378"/>
      <c r="C157" s="142">
        <f>+B84</f>
        <v>0</v>
      </c>
      <c r="D157" s="153"/>
      <c r="E157" s="153"/>
      <c r="F157" s="153"/>
      <c r="G157" s="153"/>
      <c r="H157" s="153"/>
      <c r="I157" s="153"/>
      <c r="J157" s="357" t="str">
        <f>+A31</f>
        <v>Descuentos SAC</v>
      </c>
      <c r="K157" s="358"/>
      <c r="L157" s="359"/>
      <c r="M157" s="198"/>
      <c r="N157" s="198">
        <f>+P31</f>
        <v>-2058.3333333333335</v>
      </c>
      <c r="O157" s="198">
        <f t="shared" si="25"/>
        <v>-2058.3333333333335</v>
      </c>
      <c r="P157" s="153"/>
      <c r="Q157" s="153"/>
      <c r="R157" s="153"/>
    </row>
    <row r="158" spans="1:18" s="2" customFormat="1" ht="15.75" thickBot="1">
      <c r="A158" s="377" t="s">
        <v>105</v>
      </c>
      <c r="B158" s="378"/>
      <c r="C158" s="142">
        <f>+B85</f>
        <v>0</v>
      </c>
      <c r="D158" s="153"/>
      <c r="E158" s="153"/>
      <c r="F158" s="153"/>
      <c r="G158" s="153"/>
      <c r="H158" s="153"/>
      <c r="I158" s="153"/>
      <c r="J158" s="340" t="str">
        <f>+A32</f>
        <v>Bruto TOPE GCIA</v>
      </c>
      <c r="K158" s="341"/>
      <c r="L158" s="342"/>
      <c r="M158" s="223">
        <f>+SUM(M138:M157)</f>
        <v>0</v>
      </c>
      <c r="N158" s="223">
        <f>+SUM(N138:N157)</f>
        <v>926358.3266666665</v>
      </c>
      <c r="O158" s="223">
        <f>+SUM(O138:O157)</f>
        <v>926358.3266666665</v>
      </c>
      <c r="P158" s="153"/>
      <c r="Q158" s="153"/>
      <c r="R158" s="153"/>
    </row>
    <row r="159" spans="1:18" s="2" customFormat="1" ht="15.75" thickBot="1">
      <c r="A159" s="377" t="s">
        <v>42</v>
      </c>
      <c r="B159" s="378"/>
      <c r="C159" s="142">
        <f>+B86</f>
        <v>0</v>
      </c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</row>
    <row r="160" spans="1:18" s="2" customFormat="1" ht="15.75" thickBot="1">
      <c r="A160" s="377" t="s">
        <v>43</v>
      </c>
      <c r="B160" s="378"/>
      <c r="C160" s="142">
        <f>+B87</f>
        <v>0</v>
      </c>
      <c r="D160" s="153"/>
      <c r="E160" s="153"/>
      <c r="F160" s="153"/>
      <c r="G160" s="153"/>
      <c r="H160" s="153"/>
      <c r="I160" s="153"/>
      <c r="J160" s="340" t="s">
        <v>62</v>
      </c>
      <c r="K160" s="341"/>
      <c r="L160" s="342"/>
      <c r="M160" s="217" t="s">
        <v>59</v>
      </c>
      <c r="N160" s="217" t="s">
        <v>60</v>
      </c>
      <c r="O160" s="217" t="s">
        <v>61</v>
      </c>
      <c r="P160" s="153"/>
      <c r="Q160" s="153"/>
      <c r="R160" s="153"/>
    </row>
    <row r="161" spans="1:18" s="2" customFormat="1" ht="15.75" thickBot="1">
      <c r="A161" s="377" t="s">
        <v>72</v>
      </c>
      <c r="B161" s="378"/>
      <c r="C161" s="142">
        <f>+B80</f>
        <v>0</v>
      </c>
      <c r="D161" s="153"/>
      <c r="E161" s="153"/>
      <c r="F161" s="153"/>
      <c r="G161" s="153"/>
      <c r="H161" s="153"/>
      <c r="I161" s="153"/>
      <c r="J161" s="308" t="str">
        <f>+A34</f>
        <v>Jubilacion</v>
      </c>
      <c r="K161" s="360"/>
      <c r="L161" s="361"/>
      <c r="M161" s="194"/>
      <c r="N161" s="194">
        <f>+P34</f>
        <v>109294.1663</v>
      </c>
      <c r="O161" s="194">
        <f>+M161+N161-O220</f>
        <v>109294.1663</v>
      </c>
      <c r="P161" s="153"/>
      <c r="Q161" s="153"/>
      <c r="R161" s="153"/>
    </row>
    <row r="162" spans="1:18" s="2" customFormat="1" ht="15.75" thickBot="1">
      <c r="A162" s="377" t="s">
        <v>46</v>
      </c>
      <c r="B162" s="378"/>
      <c r="C162" s="142">
        <f>+B88</f>
        <v>0</v>
      </c>
      <c r="D162" s="153"/>
      <c r="E162" s="153"/>
      <c r="F162" s="153"/>
      <c r="G162" s="153"/>
      <c r="H162" s="153"/>
      <c r="I162" s="153"/>
      <c r="J162" s="303" t="str">
        <f>+A35</f>
        <v>Ley 19032</v>
      </c>
      <c r="K162" s="353"/>
      <c r="L162" s="354"/>
      <c r="M162" s="186"/>
      <c r="N162" s="186">
        <f>+P35</f>
        <v>29807.4999</v>
      </c>
      <c r="O162" s="194">
        <f>+M162+N162-O221</f>
        <v>29807.4999</v>
      </c>
      <c r="P162" s="153"/>
      <c r="Q162" s="153"/>
      <c r="R162" s="153"/>
    </row>
    <row r="163" spans="1:18" s="2" customFormat="1" ht="15.75" thickBot="1">
      <c r="A163" s="377" t="s">
        <v>47</v>
      </c>
      <c r="B163" s="378"/>
      <c r="C163" s="142">
        <f>+B81</f>
        <v>0</v>
      </c>
      <c r="D163" s="153"/>
      <c r="E163" s="153"/>
      <c r="F163" s="153"/>
      <c r="G163" s="153"/>
      <c r="H163" s="153"/>
      <c r="I163" s="153"/>
      <c r="J163" s="303" t="str">
        <f>+A36</f>
        <v>O. Social</v>
      </c>
      <c r="K163" s="353"/>
      <c r="L163" s="354"/>
      <c r="M163" s="186"/>
      <c r="N163" s="186">
        <f>+P36</f>
        <v>29807.4999</v>
      </c>
      <c r="O163" s="194">
        <f>+M163+N163-O222</f>
        <v>29807.4999</v>
      </c>
      <c r="P163" s="153"/>
      <c r="Q163" s="153"/>
      <c r="R163" s="153"/>
    </row>
    <row r="164" spans="1:18" s="2" customFormat="1" ht="15.75" customHeight="1" thickBot="1">
      <c r="A164" s="377" t="s">
        <v>132</v>
      </c>
      <c r="B164" s="378"/>
      <c r="C164" s="142">
        <f>+B89</f>
        <v>0</v>
      </c>
      <c r="D164" s="153"/>
      <c r="E164" s="153"/>
      <c r="F164" s="153"/>
      <c r="G164" s="153"/>
      <c r="H164" s="153"/>
      <c r="I164" s="153"/>
      <c r="J164" s="303" t="str">
        <f>+A38</f>
        <v>Sindicato</v>
      </c>
      <c r="K164" s="353"/>
      <c r="L164" s="354"/>
      <c r="M164" s="186"/>
      <c r="N164" s="186">
        <f>+P38</f>
        <v>19871.6666</v>
      </c>
      <c r="O164" s="186">
        <f>+M164+N164-O224</f>
        <v>19871.6666</v>
      </c>
      <c r="P164" s="153"/>
      <c r="Q164" s="153"/>
      <c r="R164" s="153"/>
    </row>
    <row r="165" spans="1:18" s="2" customFormat="1" ht="15.75" thickBot="1">
      <c r="A165" s="377" t="s">
        <v>103</v>
      </c>
      <c r="B165" s="378"/>
      <c r="C165" s="142">
        <f>+B91</f>
        <v>0</v>
      </c>
      <c r="D165" s="153"/>
      <c r="E165" s="153"/>
      <c r="F165" s="153"/>
      <c r="G165" s="153"/>
      <c r="H165" s="153"/>
      <c r="I165" s="153"/>
      <c r="J165" s="305"/>
      <c r="K165" s="355"/>
      <c r="L165" s="356"/>
      <c r="M165" s="198"/>
      <c r="N165" s="198"/>
      <c r="O165" s="198"/>
      <c r="P165" s="153"/>
      <c r="Q165" s="153"/>
      <c r="R165" s="153"/>
    </row>
    <row r="166" spans="1:18" s="2" customFormat="1" ht="15.75" thickBot="1">
      <c r="A166" s="377" t="s">
        <v>50</v>
      </c>
      <c r="B166" s="378"/>
      <c r="C166" s="142">
        <f>+B92</f>
        <v>0</v>
      </c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</row>
    <row r="167" spans="1:18" s="2" customFormat="1" ht="15.75" thickBot="1">
      <c r="A167" s="377" t="s">
        <v>51</v>
      </c>
      <c r="B167" s="378"/>
      <c r="C167" s="142">
        <f>+B93</f>
        <v>0</v>
      </c>
      <c r="D167" s="153"/>
      <c r="E167" s="153"/>
      <c r="F167" s="153"/>
      <c r="G167" s="153"/>
      <c r="H167" s="153"/>
      <c r="I167" s="153"/>
      <c r="J167" s="340" t="s">
        <v>68</v>
      </c>
      <c r="K167" s="341"/>
      <c r="L167" s="342"/>
      <c r="M167" s="223">
        <f>+SUM(M161:M166)</f>
        <v>0</v>
      </c>
      <c r="N167" s="223">
        <f>+SUM(N161:N166)</f>
        <v>188780.8327</v>
      </c>
      <c r="O167" s="223">
        <f>+SUM(O161:O166)</f>
        <v>188780.8327</v>
      </c>
      <c r="P167" s="153"/>
      <c r="Q167" s="153"/>
      <c r="R167" s="153"/>
    </row>
    <row r="168" spans="1:18" s="2" customFormat="1" ht="15.75" customHeight="1" thickBot="1">
      <c r="A168" s="377"/>
      <c r="B168" s="378"/>
      <c r="C168" s="142">
        <f>+B94</f>
        <v>0</v>
      </c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</row>
    <row r="169" spans="1:18" s="2" customFormat="1" ht="15.75" thickBot="1">
      <c r="A169" s="377" t="s">
        <v>137</v>
      </c>
      <c r="B169" s="378"/>
      <c r="C169" s="142">
        <f>+B90</f>
        <v>0</v>
      </c>
      <c r="D169" s="153"/>
      <c r="E169" s="153"/>
      <c r="F169" s="153"/>
      <c r="G169" s="153"/>
      <c r="H169" s="153"/>
      <c r="I169" s="153"/>
      <c r="J169" s="340" t="s">
        <v>64</v>
      </c>
      <c r="K169" s="341"/>
      <c r="L169" s="341"/>
      <c r="M169" s="341"/>
      <c r="N169" s="342"/>
      <c r="O169" s="153"/>
      <c r="P169" s="153"/>
      <c r="Q169" s="153"/>
      <c r="R169" s="153"/>
    </row>
    <row r="170" spans="1:18" s="2" customFormat="1" ht="12">
      <c r="A170" s="153"/>
      <c r="B170" s="153"/>
      <c r="C170" s="153"/>
      <c r="D170" s="153"/>
      <c r="E170" s="153"/>
      <c r="F170" s="153"/>
      <c r="G170" s="153"/>
      <c r="H170" s="153"/>
      <c r="I170" s="153"/>
      <c r="J170" s="344" t="str">
        <f>+A155</f>
        <v>Servicio Doméstico</v>
      </c>
      <c r="K170" s="345"/>
      <c r="L170" s="345"/>
      <c r="M170" s="345"/>
      <c r="N170" s="346"/>
      <c r="O170" s="190">
        <f>+IF(C155&gt;C208,C208,C155)</f>
        <v>0</v>
      </c>
      <c r="P170" s="153"/>
      <c r="Q170" s="153"/>
      <c r="R170" s="153"/>
    </row>
    <row r="171" spans="1:18" s="2" customFormat="1" ht="12">
      <c r="A171" s="153"/>
      <c r="B171" s="153"/>
      <c r="C171" s="153"/>
      <c r="D171" s="153"/>
      <c r="E171" s="153"/>
      <c r="F171" s="153"/>
      <c r="G171" s="153"/>
      <c r="H171" s="153"/>
      <c r="I171" s="153"/>
      <c r="J171" s="350" t="str">
        <f>+A157</f>
        <v>Seguro mixto</v>
      </c>
      <c r="K171" s="351"/>
      <c r="L171" s="351"/>
      <c r="M171" s="351"/>
      <c r="N171" s="352"/>
      <c r="O171" s="186">
        <f>+IF(F1=12,IF(C157&gt;C202,C202,C157),0)</f>
        <v>0</v>
      </c>
      <c r="P171" s="153"/>
      <c r="Q171" s="153"/>
      <c r="R171" s="153"/>
    </row>
    <row r="172" spans="1:18" s="2" customFormat="1" ht="12">
      <c r="A172" s="153"/>
      <c r="B172" s="153"/>
      <c r="C172" s="153"/>
      <c r="D172" s="153"/>
      <c r="E172" s="153"/>
      <c r="F172" s="153"/>
      <c r="G172" s="153"/>
      <c r="H172" s="153"/>
      <c r="I172" s="153"/>
      <c r="J172" s="207" t="s">
        <v>134</v>
      </c>
      <c r="K172" s="208"/>
      <c r="L172" s="208"/>
      <c r="M172" s="208"/>
      <c r="N172" s="209"/>
      <c r="O172" s="186">
        <f>+IF(F1=12,IF(C156&gt;C202,C202,C156),0)</f>
        <v>0</v>
      </c>
      <c r="P172" s="153"/>
      <c r="Q172" s="153"/>
      <c r="R172" s="153"/>
    </row>
    <row r="173" spans="1:18" s="2" customFormat="1" ht="12">
      <c r="A173" s="153"/>
      <c r="B173" s="153"/>
      <c r="C173" s="153"/>
      <c r="D173" s="153"/>
      <c r="E173" s="153"/>
      <c r="F173" s="153"/>
      <c r="G173" s="153"/>
      <c r="H173" s="153"/>
      <c r="I173" s="153"/>
      <c r="J173" s="350" t="str">
        <f>+A158</f>
        <v>Gastos de Sepelio</v>
      </c>
      <c r="K173" s="351"/>
      <c r="L173" s="351"/>
      <c r="M173" s="351"/>
      <c r="N173" s="352"/>
      <c r="O173" s="186">
        <f>+IF(C158&gt;C206,C206,C158)</f>
        <v>0</v>
      </c>
      <c r="P173" s="153"/>
      <c r="Q173" s="153"/>
      <c r="R173" s="153"/>
    </row>
    <row r="174" spans="1:18" s="2" customFormat="1" ht="12">
      <c r="A174" s="153"/>
      <c r="B174" s="153"/>
      <c r="C174" s="153"/>
      <c r="D174" s="153"/>
      <c r="E174" s="153"/>
      <c r="F174" s="153"/>
      <c r="G174" s="153"/>
      <c r="H174" s="153"/>
      <c r="I174" s="153"/>
      <c r="J174" s="350" t="str">
        <f>+A159</f>
        <v>Intereses Hipotecarios</v>
      </c>
      <c r="K174" s="351"/>
      <c r="L174" s="351"/>
      <c r="M174" s="351"/>
      <c r="N174" s="352"/>
      <c r="O174" s="186">
        <f>+IF(C159&gt;C207,C207,C159)</f>
        <v>0</v>
      </c>
      <c r="P174" s="153"/>
      <c r="Q174" s="153"/>
      <c r="R174" s="153"/>
    </row>
    <row r="175" spans="1:18" s="2" customFormat="1" ht="12">
      <c r="A175" s="153"/>
      <c r="B175" s="153"/>
      <c r="C175" s="153"/>
      <c r="D175" s="153"/>
      <c r="E175" s="153"/>
      <c r="F175" s="153"/>
      <c r="G175" s="153"/>
      <c r="H175" s="153"/>
      <c r="I175" s="153"/>
      <c r="J175" s="350" t="str">
        <f>+A160</f>
        <v>Alquileres</v>
      </c>
      <c r="K175" s="351"/>
      <c r="L175" s="351"/>
      <c r="M175" s="351"/>
      <c r="N175" s="352"/>
      <c r="O175" s="186">
        <f>+IF(C160&gt;C209,C209,C160)</f>
        <v>0</v>
      </c>
      <c r="P175" s="153"/>
      <c r="Q175" s="153"/>
      <c r="R175" s="153"/>
    </row>
    <row r="176" spans="1:18" s="2" customFormat="1" ht="12">
      <c r="A176" s="153"/>
      <c r="B176" s="153"/>
      <c r="C176" s="153"/>
      <c r="D176" s="153"/>
      <c r="E176" s="153"/>
      <c r="F176" s="153"/>
      <c r="G176" s="153"/>
      <c r="H176" s="153"/>
      <c r="I176" s="153"/>
      <c r="J176" s="350" t="str">
        <f>+A161</f>
        <v>Aportes Jubilatorios cajas Prov.</v>
      </c>
      <c r="K176" s="351"/>
      <c r="L176" s="351"/>
      <c r="M176" s="351"/>
      <c r="N176" s="352"/>
      <c r="O176" s="186">
        <f>+C161</f>
        <v>0</v>
      </c>
      <c r="P176" s="153"/>
      <c r="Q176" s="153"/>
      <c r="R176" s="153"/>
    </row>
    <row r="177" spans="1:18" s="2" customFormat="1" ht="12">
      <c r="A177" s="153"/>
      <c r="B177" s="153"/>
      <c r="C177" s="153"/>
      <c r="D177" s="153"/>
      <c r="E177" s="153"/>
      <c r="F177" s="153"/>
      <c r="G177" s="153"/>
      <c r="H177" s="153"/>
      <c r="I177" s="153"/>
      <c r="J177" s="350" t="str">
        <f>+A162</f>
        <v>Viaticos</v>
      </c>
      <c r="K177" s="351"/>
      <c r="L177" s="351"/>
      <c r="M177" s="351"/>
      <c r="N177" s="352"/>
      <c r="O177" s="186">
        <f>+IF(C162&gt;C208*0.4,C208*0.4,C162)</f>
        <v>0</v>
      </c>
      <c r="P177" s="153"/>
      <c r="Q177" s="153"/>
      <c r="R177" s="153"/>
    </row>
    <row r="178" spans="1:18" s="2" customFormat="1" ht="12">
      <c r="A178" s="153"/>
      <c r="B178" s="153"/>
      <c r="C178" s="153"/>
      <c r="D178" s="153"/>
      <c r="E178" s="153"/>
      <c r="F178" s="153"/>
      <c r="G178" s="153"/>
      <c r="H178" s="153"/>
      <c r="I178" s="153"/>
      <c r="J178" s="210" t="s">
        <v>135</v>
      </c>
      <c r="K178" s="211"/>
      <c r="L178" s="211"/>
      <c r="M178" s="211"/>
      <c r="N178" s="212"/>
      <c r="O178" s="213">
        <f>+IF(F1=12,IF(C164&gt;C202,C202,C164),0)</f>
        <v>0</v>
      </c>
      <c r="P178" s="153"/>
      <c r="Q178" s="153"/>
      <c r="R178" s="153"/>
    </row>
    <row r="179" spans="1:18" s="2" customFormat="1" ht="12">
      <c r="A179" s="153"/>
      <c r="B179" s="153"/>
      <c r="C179" s="153"/>
      <c r="D179" s="153"/>
      <c r="E179" s="153"/>
      <c r="F179" s="153"/>
      <c r="G179" s="153"/>
      <c r="H179" s="153"/>
      <c r="I179" s="153"/>
      <c r="J179" s="210" t="s">
        <v>136</v>
      </c>
      <c r="K179" s="211"/>
      <c r="L179" s="211"/>
      <c r="M179" s="211"/>
      <c r="N179" s="212"/>
      <c r="O179" s="213">
        <f>+IF(C169&gt;C208,C208,C169)</f>
        <v>0</v>
      </c>
      <c r="P179" s="153"/>
      <c r="Q179" s="153"/>
      <c r="R179" s="153"/>
    </row>
    <row r="180" spans="1:18" s="2" customFormat="1" ht="12.75" thickBot="1">
      <c r="A180" s="153"/>
      <c r="B180" s="153"/>
      <c r="C180" s="153"/>
      <c r="D180" s="153"/>
      <c r="E180" s="153"/>
      <c r="F180" s="153"/>
      <c r="G180" s="153"/>
      <c r="H180" s="153"/>
      <c r="I180" s="153"/>
      <c r="J180" s="347" t="str">
        <f>+A163</f>
        <v>Aporte SGR</v>
      </c>
      <c r="K180" s="348"/>
      <c r="L180" s="348"/>
      <c r="M180" s="348"/>
      <c r="N180" s="349"/>
      <c r="O180" s="198">
        <f>+C163</f>
        <v>0</v>
      </c>
      <c r="P180" s="153"/>
      <c r="Q180" s="153"/>
      <c r="R180" s="153"/>
    </row>
    <row r="181" spans="1:18" s="2" customFormat="1" ht="15.75" customHeight="1" thickBot="1">
      <c r="A181" s="153"/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</row>
    <row r="182" spans="1:18" s="2" customFormat="1" ht="12.75" thickBot="1">
      <c r="A182" s="153"/>
      <c r="B182" s="153"/>
      <c r="C182" s="153"/>
      <c r="D182" s="153"/>
      <c r="E182" s="153"/>
      <c r="F182" s="153"/>
      <c r="G182" s="153"/>
      <c r="H182" s="153"/>
      <c r="I182" s="153"/>
      <c r="J182" s="340" t="s">
        <v>81</v>
      </c>
      <c r="K182" s="341"/>
      <c r="L182" s="341"/>
      <c r="M182" s="341"/>
      <c r="N182" s="342"/>
      <c r="O182" s="223">
        <f>+SUM(O170:O181)</f>
        <v>0</v>
      </c>
      <c r="P182" s="153"/>
      <c r="Q182" s="153"/>
      <c r="R182" s="153"/>
    </row>
    <row r="183" spans="1:18" s="2" customFormat="1" ht="15.75" customHeight="1" thickBot="1">
      <c r="A183" s="153"/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</row>
    <row r="184" spans="1:18" s="2" customFormat="1" ht="15.75" customHeight="1" thickBot="1">
      <c r="A184" s="153"/>
      <c r="B184" s="153"/>
      <c r="C184" s="153"/>
      <c r="D184" s="153"/>
      <c r="E184" s="153"/>
      <c r="F184" s="153"/>
      <c r="G184" s="153"/>
      <c r="H184" s="153"/>
      <c r="I184" s="153"/>
      <c r="J184" s="340" t="s">
        <v>82</v>
      </c>
      <c r="K184" s="341"/>
      <c r="L184" s="342"/>
      <c r="M184" s="223">
        <f>+ROUND(O158-O167-O182,2)</f>
        <v>737577.49</v>
      </c>
      <c r="N184" s="153"/>
      <c r="O184" s="153"/>
      <c r="P184" s="153"/>
      <c r="Q184" s="153"/>
      <c r="R184" s="153"/>
    </row>
    <row r="185" spans="1:18" s="2" customFormat="1" ht="12.75" thickBot="1">
      <c r="A185" s="153"/>
      <c r="B185" s="153"/>
      <c r="C185" s="153"/>
      <c r="D185" s="153"/>
      <c r="E185" s="153"/>
      <c r="F185" s="153"/>
      <c r="G185" s="153"/>
      <c r="H185" s="153"/>
      <c r="I185" s="153"/>
      <c r="J185" s="340" t="s">
        <v>81</v>
      </c>
      <c r="K185" s="341"/>
      <c r="L185" s="341"/>
      <c r="M185" s="341"/>
      <c r="N185" s="342"/>
      <c r="O185" s="153"/>
      <c r="P185" s="153"/>
      <c r="Q185" s="153"/>
      <c r="R185" s="153"/>
    </row>
    <row r="186" spans="1:18" s="2" customFormat="1" ht="12">
      <c r="A186" s="153"/>
      <c r="B186" s="153"/>
      <c r="C186" s="153"/>
      <c r="D186" s="153"/>
      <c r="E186" s="153"/>
      <c r="F186" s="153"/>
      <c r="G186" s="153"/>
      <c r="H186" s="153"/>
      <c r="I186" s="153"/>
      <c r="J186" s="344" t="str">
        <f>+A165</f>
        <v>OBRA SOCIAL PRIVADA</v>
      </c>
      <c r="K186" s="345"/>
      <c r="L186" s="345"/>
      <c r="M186" s="345"/>
      <c r="N186" s="346"/>
      <c r="O186" s="190">
        <f>+IF(C165&gt;C211,C211,C165)</f>
        <v>0</v>
      </c>
      <c r="P186" s="153"/>
      <c r="Q186" s="153"/>
      <c r="R186" s="153"/>
    </row>
    <row r="187" spans="1:18" s="2" customFormat="1" ht="12">
      <c r="A187" s="153"/>
      <c r="B187" s="153"/>
      <c r="C187" s="153"/>
      <c r="D187" s="153"/>
      <c r="E187" s="153"/>
      <c r="F187" s="153"/>
      <c r="G187" s="153"/>
      <c r="H187" s="153"/>
      <c r="I187" s="153"/>
      <c r="J187" s="350" t="str">
        <f>+A166</f>
        <v>DONACIONES</v>
      </c>
      <c r="K187" s="351"/>
      <c r="L187" s="351"/>
      <c r="M187" s="351"/>
      <c r="N187" s="352"/>
      <c r="O187" s="186">
        <f>+IF(C166&gt;C210,C210,C166)</f>
        <v>0</v>
      </c>
      <c r="P187" s="153"/>
      <c r="Q187" s="153"/>
      <c r="R187" s="153"/>
    </row>
    <row r="188" spans="1:18" s="2" customFormat="1" ht="12.75" thickBot="1">
      <c r="A188" s="153"/>
      <c r="B188" s="153"/>
      <c r="C188" s="153"/>
      <c r="D188" s="153"/>
      <c r="E188" s="153"/>
      <c r="F188" s="153"/>
      <c r="G188" s="153"/>
      <c r="H188" s="153"/>
      <c r="I188" s="153"/>
      <c r="J188" s="347" t="str">
        <f>+A167</f>
        <v>HONORARIOS MEDICOS</v>
      </c>
      <c r="K188" s="348"/>
      <c r="L188" s="348"/>
      <c r="M188" s="348"/>
      <c r="N188" s="349"/>
      <c r="O188" s="198">
        <f>+IF(F1=12,IF(C167&gt;C212,C212,C167),0)</f>
        <v>0</v>
      </c>
      <c r="P188" s="153"/>
      <c r="Q188" s="153"/>
      <c r="R188" s="153"/>
    </row>
    <row r="189" spans="1:18" s="2" customFormat="1" ht="15.75" customHeight="1" thickBot="1">
      <c r="A189" s="153"/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</row>
    <row r="190" spans="1:18" s="2" customFormat="1" ht="12.75" thickBot="1">
      <c r="A190" s="153"/>
      <c r="B190" s="153"/>
      <c r="C190" s="153"/>
      <c r="D190" s="153"/>
      <c r="E190" s="153"/>
      <c r="F190" s="153"/>
      <c r="G190" s="153"/>
      <c r="H190" s="153"/>
      <c r="I190" s="153"/>
      <c r="J190" s="340" t="s">
        <v>83</v>
      </c>
      <c r="K190" s="341"/>
      <c r="L190" s="341"/>
      <c r="M190" s="341"/>
      <c r="N190" s="342"/>
      <c r="O190" s="224">
        <f>+SUM(O186:O189)</f>
        <v>0</v>
      </c>
      <c r="P190" s="153"/>
      <c r="Q190" s="153"/>
      <c r="R190" s="153"/>
    </row>
    <row r="191" spans="1:18" s="2" customFormat="1" ht="15.75" customHeight="1" thickBot="1">
      <c r="A191" s="153"/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</row>
    <row r="192" spans="1:18" s="2" customFormat="1" ht="12.75" customHeight="1" thickBot="1">
      <c r="A192" s="153"/>
      <c r="B192" s="153"/>
      <c r="C192" s="153"/>
      <c r="D192" s="153"/>
      <c r="E192" s="153"/>
      <c r="F192" s="153"/>
      <c r="G192" s="153"/>
      <c r="H192" s="153"/>
      <c r="I192" s="153"/>
      <c r="J192" s="340" t="s">
        <v>65</v>
      </c>
      <c r="K192" s="341"/>
      <c r="L192" s="341"/>
      <c r="M192" s="341"/>
      <c r="N192" s="342"/>
      <c r="O192" s="153"/>
      <c r="P192" s="153"/>
      <c r="Q192" s="153"/>
      <c r="R192" s="153"/>
    </row>
    <row r="193" spans="1:18" s="2" customFormat="1" ht="12.75" thickBot="1">
      <c r="A193" s="153"/>
      <c r="B193" s="153"/>
      <c r="C193" s="153"/>
      <c r="D193" s="153"/>
      <c r="E193" s="153"/>
      <c r="F193" s="153"/>
      <c r="G193" s="153"/>
      <c r="H193" s="153"/>
      <c r="I193" s="153"/>
      <c r="J193" s="344" t="str">
        <f>+A152</f>
        <v>Cónyuge</v>
      </c>
      <c r="K193" s="345"/>
      <c r="L193" s="345"/>
      <c r="M193" s="345"/>
      <c r="N193" s="346"/>
      <c r="O193" s="190">
        <f>+SUM(C77:N77)</f>
        <v>0</v>
      </c>
      <c r="P193" s="153"/>
      <c r="Q193" s="153"/>
      <c r="R193" s="153"/>
    </row>
    <row r="194" spans="1:18" s="2" customFormat="1" ht="12.75" thickBot="1">
      <c r="A194" s="153"/>
      <c r="B194" s="153"/>
      <c r="C194" s="153"/>
      <c r="D194" s="153"/>
      <c r="E194" s="153"/>
      <c r="F194" s="153"/>
      <c r="G194" s="153"/>
      <c r="H194" s="153"/>
      <c r="I194" s="153"/>
      <c r="J194" s="347" t="str">
        <f>+A153</f>
        <v>Hijos</v>
      </c>
      <c r="K194" s="348"/>
      <c r="L194" s="348"/>
      <c r="M194" s="348"/>
      <c r="N194" s="349"/>
      <c r="O194" s="190">
        <f>+SUM(C78:N78)</f>
        <v>0</v>
      </c>
      <c r="P194" s="153"/>
      <c r="Q194" s="153"/>
      <c r="R194" s="153"/>
    </row>
    <row r="195" spans="1:18" s="2" customFormat="1" ht="12.75" thickBot="1">
      <c r="A195" s="153"/>
      <c r="B195" s="153"/>
      <c r="C195" s="153"/>
      <c r="D195" s="153"/>
      <c r="E195" s="153"/>
      <c r="F195" s="153"/>
      <c r="G195" s="153"/>
      <c r="H195" s="153"/>
      <c r="I195" s="153"/>
      <c r="J195" s="347" t="str">
        <f>+A154</f>
        <v>Hijos discapacitados para el trabajo</v>
      </c>
      <c r="K195" s="348"/>
      <c r="L195" s="348"/>
      <c r="M195" s="348"/>
      <c r="N195" s="349"/>
      <c r="O195" s="190">
        <f>+SUM(C79:N79)</f>
        <v>0</v>
      </c>
      <c r="P195" s="153"/>
      <c r="Q195" s="153"/>
      <c r="R195" s="153"/>
    </row>
    <row r="196" spans="1:18" s="2" customFormat="1" ht="15.75" customHeight="1" thickBot="1">
      <c r="A196" s="153"/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</row>
    <row r="197" spans="1:18" s="2" customFormat="1" ht="12.75" thickBot="1">
      <c r="A197" s="153"/>
      <c r="B197" s="153"/>
      <c r="C197" s="153"/>
      <c r="D197" s="153"/>
      <c r="E197" s="153"/>
      <c r="F197" s="153"/>
      <c r="G197" s="153"/>
      <c r="H197" s="153"/>
      <c r="I197" s="153"/>
      <c r="J197" s="340" t="s">
        <v>94</v>
      </c>
      <c r="K197" s="341"/>
      <c r="L197" s="341"/>
      <c r="M197" s="341"/>
      <c r="N197" s="342"/>
      <c r="O197" s="223">
        <f>SUM(O193:O196)</f>
        <v>0</v>
      </c>
      <c r="P197" s="153"/>
      <c r="Q197" s="153"/>
      <c r="R197" s="153"/>
    </row>
    <row r="198" spans="1:18" s="2" customFormat="1" ht="15.75" customHeight="1" thickBot="1">
      <c r="A198" s="153"/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</row>
    <row r="199" spans="1:18" s="2" customFormat="1" ht="12.75" thickBot="1">
      <c r="A199" s="343" t="s">
        <v>73</v>
      </c>
      <c r="B199" s="343"/>
      <c r="C199" s="343"/>
      <c r="D199" s="153"/>
      <c r="E199" s="153"/>
      <c r="F199" s="153"/>
      <c r="G199" s="153"/>
      <c r="H199" s="153"/>
      <c r="I199" s="153"/>
      <c r="J199" s="340" t="s">
        <v>66</v>
      </c>
      <c r="K199" s="341"/>
      <c r="L199" s="341"/>
      <c r="M199" s="341"/>
      <c r="N199" s="342"/>
      <c r="O199" s="153"/>
      <c r="P199" s="153"/>
      <c r="Q199" s="153"/>
      <c r="R199" s="153"/>
    </row>
    <row r="200" spans="1:18" s="2" customFormat="1" ht="15.75" thickBot="1">
      <c r="A200" s="375" t="s">
        <v>36</v>
      </c>
      <c r="B200" s="376"/>
      <c r="C200" s="166">
        <f>+HLOOKUP($F$1,$C$243:$N$254,4,0)</f>
        <v>91187.0344</v>
      </c>
      <c r="D200" s="153"/>
      <c r="E200" s="153"/>
      <c r="F200" s="153"/>
      <c r="G200" s="153"/>
      <c r="H200" s="153"/>
      <c r="I200" s="153"/>
      <c r="J200" s="344" t="s">
        <v>35</v>
      </c>
      <c r="K200" s="345"/>
      <c r="L200" s="345"/>
      <c r="M200" s="345"/>
      <c r="N200" s="346"/>
      <c r="O200" s="190">
        <f>+HLOOKUP($F$1,$C$243:$N$254,3,0)</f>
        <v>97812.40000000001</v>
      </c>
      <c r="P200" s="153"/>
      <c r="Q200" s="153"/>
      <c r="R200" s="153"/>
    </row>
    <row r="201" spans="1:18" s="2" customFormat="1" ht="15.75" thickBot="1">
      <c r="A201" s="375" t="s">
        <v>37</v>
      </c>
      <c r="B201" s="376"/>
      <c r="C201" s="166">
        <f>+HLOOKUP($F$1,$C$243:$N$254,5,0)</f>
        <v>45985.9631</v>
      </c>
      <c r="D201" s="153"/>
      <c r="E201" s="153"/>
      <c r="F201" s="153"/>
      <c r="G201" s="153"/>
      <c r="H201" s="153"/>
      <c r="I201" s="153"/>
      <c r="J201" s="347" t="s">
        <v>67</v>
      </c>
      <c r="K201" s="348"/>
      <c r="L201" s="348"/>
      <c r="M201" s="348"/>
      <c r="N201" s="349"/>
      <c r="O201" s="198">
        <f>+HLOOKUP($F$1,$C$243:$N$254,7,0)</f>
        <v>469499.52</v>
      </c>
      <c r="P201" s="153"/>
      <c r="Q201" s="153"/>
      <c r="R201" s="153"/>
    </row>
    <row r="202" spans="1:18" s="2" customFormat="1" ht="15.75" customHeight="1" thickBot="1">
      <c r="A202" s="375" t="s">
        <v>197</v>
      </c>
      <c r="B202" s="376"/>
      <c r="C202" s="166">
        <f>+HLOOKUP($F$1,$C$243:$N$254,6,0)</f>
        <v>91971.93</v>
      </c>
      <c r="D202" s="153"/>
      <c r="E202" s="153"/>
      <c r="F202" s="153"/>
      <c r="G202" s="153"/>
      <c r="H202" s="153"/>
      <c r="I202" s="153"/>
      <c r="J202" s="214" t="s">
        <v>156</v>
      </c>
      <c r="K202" s="215"/>
      <c r="L202" s="215"/>
      <c r="M202" s="215"/>
      <c r="N202" s="216"/>
      <c r="O202" s="198">
        <f>+SUM(C132:N132)</f>
        <v>79332.10124166668</v>
      </c>
      <c r="P202" s="153"/>
      <c r="Q202" s="153"/>
      <c r="R202" s="153"/>
    </row>
    <row r="203" spans="1:18" s="2" customFormat="1" ht="15.75" customHeight="1" thickBot="1">
      <c r="A203" s="375" t="s">
        <v>74</v>
      </c>
      <c r="B203" s="376"/>
      <c r="C203" s="166">
        <f>+HLOOKUP($F$1,$C$243:$N$254,9,0)</f>
        <v>0</v>
      </c>
      <c r="D203" s="153"/>
      <c r="E203" s="153"/>
      <c r="F203" s="153"/>
      <c r="G203" s="153"/>
      <c r="H203" s="153"/>
      <c r="I203" s="153"/>
      <c r="J203" s="214" t="s">
        <v>159</v>
      </c>
      <c r="K203" s="215"/>
      <c r="L203" s="215"/>
      <c r="M203" s="215"/>
      <c r="N203" s="216"/>
      <c r="O203" s="198">
        <f>+SUM(C133:N133)</f>
        <v>61243</v>
      </c>
      <c r="P203" s="153"/>
      <c r="Q203" s="153"/>
      <c r="R203" s="153"/>
    </row>
    <row r="204" spans="1:18" s="2" customFormat="1" ht="15.75" customHeight="1" thickBot="1">
      <c r="A204" s="375" t="s">
        <v>46</v>
      </c>
      <c r="B204" s="376"/>
      <c r="C204" s="166">
        <f>+HLOOKUP($F$1,$C$243:$N$256,14,0)</f>
        <v>39124.96</v>
      </c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</row>
    <row r="205" spans="1:18" s="2" customFormat="1" ht="15.75" thickBot="1">
      <c r="A205" s="375" t="s">
        <v>130</v>
      </c>
      <c r="B205" s="376"/>
      <c r="C205" s="166">
        <f>+C203</f>
        <v>0</v>
      </c>
      <c r="D205" s="153"/>
      <c r="E205" s="153"/>
      <c r="F205" s="153"/>
      <c r="G205" s="153"/>
      <c r="H205" s="153"/>
      <c r="I205" s="153"/>
      <c r="J205" s="340" t="s">
        <v>84</v>
      </c>
      <c r="K205" s="341"/>
      <c r="L205" s="341"/>
      <c r="M205" s="341"/>
      <c r="N205" s="342"/>
      <c r="O205" s="224">
        <f>+SUM(O200:O204)</f>
        <v>707887.0212416667</v>
      </c>
      <c r="P205" s="153"/>
      <c r="Q205" s="153"/>
      <c r="R205" s="153"/>
    </row>
    <row r="206" spans="1:18" s="2" customFormat="1" ht="15.75" thickBot="1">
      <c r="A206" s="375" t="s">
        <v>75</v>
      </c>
      <c r="B206" s="376"/>
      <c r="C206" s="166">
        <f>+HLOOKUP($F$1,$C$243:$N$254,10,0)</f>
        <v>581.1344</v>
      </c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</row>
    <row r="207" spans="1:18" s="2" customFormat="1" ht="15.75" thickBot="1">
      <c r="A207" s="375" t="s">
        <v>76</v>
      </c>
      <c r="B207" s="376"/>
      <c r="C207" s="166">
        <f>+HLOOKUP($F$1,$C$243:$N$254,11,0)</f>
        <v>11666.6669</v>
      </c>
      <c r="D207" s="153"/>
      <c r="E207" s="153"/>
      <c r="F207" s="153"/>
      <c r="G207" s="153"/>
      <c r="H207" s="153"/>
      <c r="I207" s="153"/>
      <c r="J207" s="334" t="s">
        <v>69</v>
      </c>
      <c r="K207" s="335"/>
      <c r="L207" s="335"/>
      <c r="M207" s="219"/>
      <c r="N207" s="219"/>
      <c r="O207" s="223">
        <f>+O158-O167-O182-O190-O197-O205</f>
        <v>29690.472724999767</v>
      </c>
      <c r="P207" s="153"/>
      <c r="Q207" s="153"/>
      <c r="R207" s="153"/>
    </row>
    <row r="208" spans="1:18" s="2" customFormat="1" ht="15.75" thickBot="1">
      <c r="A208" s="375" t="s">
        <v>77</v>
      </c>
      <c r="B208" s="376"/>
      <c r="C208" s="166">
        <f>+HLOOKUP($F$1,$C$243:$N$254,12,0)</f>
        <v>97812.40000000001</v>
      </c>
      <c r="D208" s="153"/>
      <c r="E208" s="153"/>
      <c r="F208" s="153"/>
      <c r="G208" s="153"/>
      <c r="H208" s="153"/>
      <c r="I208" s="153"/>
      <c r="J208" s="334" t="s">
        <v>110</v>
      </c>
      <c r="K208" s="335"/>
      <c r="L208" s="335"/>
      <c r="M208" s="219"/>
      <c r="N208" s="219"/>
      <c r="O208" s="223">
        <f>+O158-O167-O182-O190-O197-O205-O236</f>
        <v>29690.472724999767</v>
      </c>
      <c r="P208" s="153"/>
      <c r="Q208" s="153"/>
      <c r="R208" s="153"/>
    </row>
    <row r="209" spans="1:18" s="2" customFormat="1" ht="15.75" thickBot="1">
      <c r="A209" s="375" t="s">
        <v>43</v>
      </c>
      <c r="B209" s="376"/>
      <c r="C209" s="166">
        <f>+C208</f>
        <v>97812.40000000001</v>
      </c>
      <c r="D209" s="153"/>
      <c r="E209" s="153"/>
      <c r="F209" s="153"/>
      <c r="G209" s="153"/>
      <c r="H209" s="153"/>
      <c r="I209" s="153"/>
      <c r="J209" s="334" t="s">
        <v>86</v>
      </c>
      <c r="K209" s="335"/>
      <c r="L209" s="335"/>
      <c r="M209" s="225"/>
      <c r="N209" s="225"/>
      <c r="O209" s="226">
        <f>IF(AND(O208&lt;0,O207&gt;0),O207*0.05,IF(O207&gt;0,ROUND(LOOKUP(O208,C139:E147)+((O207-LOOKUP(O208,C139:G147))*LOOKUP(O208,C139:F147)/100),2),0))</f>
        <v>1484.52</v>
      </c>
      <c r="P209" s="153"/>
      <c r="Q209" s="153"/>
      <c r="R209" s="153"/>
    </row>
    <row r="210" spans="1:18" s="2" customFormat="1" ht="15.75" thickBot="1">
      <c r="A210" s="375" t="s">
        <v>79</v>
      </c>
      <c r="B210" s="376"/>
      <c r="C210" s="166">
        <f>+M184*5%</f>
        <v>36878.8745</v>
      </c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</row>
    <row r="211" spans="1:18" s="2" customFormat="1" ht="27" thickBot="1">
      <c r="A211" s="375" t="s">
        <v>78</v>
      </c>
      <c r="B211" s="376"/>
      <c r="C211" s="166">
        <f>+C210</f>
        <v>36878.8745</v>
      </c>
      <c r="D211" s="153"/>
      <c r="E211" s="153"/>
      <c r="F211" s="153"/>
      <c r="G211" s="153"/>
      <c r="H211" s="153"/>
      <c r="I211" s="153"/>
      <c r="J211" s="227" t="s">
        <v>71</v>
      </c>
      <c r="K211" s="228"/>
      <c r="L211" s="228"/>
      <c r="M211" s="229"/>
      <c r="N211" s="229"/>
      <c r="O211" s="230">
        <f>+P41+SUM(C122:N122)</f>
        <v>1484.5199999999995</v>
      </c>
      <c r="P211" s="153"/>
      <c r="Q211" s="153"/>
      <c r="R211" s="153"/>
    </row>
    <row r="212" spans="1:18" s="2" customFormat="1" ht="27" thickBot="1">
      <c r="A212" s="375" t="s">
        <v>80</v>
      </c>
      <c r="B212" s="376"/>
      <c r="C212" s="166">
        <f>+C211</f>
        <v>36878.8745</v>
      </c>
      <c r="D212" s="153"/>
      <c r="E212" s="153"/>
      <c r="F212" s="153"/>
      <c r="G212" s="153"/>
      <c r="H212" s="153"/>
      <c r="I212" s="153"/>
      <c r="J212" s="231" t="s">
        <v>85</v>
      </c>
      <c r="K212" s="232"/>
      <c r="L212" s="232"/>
      <c r="M212" s="233"/>
      <c r="N212" s="233"/>
      <c r="O212" s="234">
        <f>IF(F1=12,+C213,0)</f>
        <v>0</v>
      </c>
      <c r="P212" s="153"/>
      <c r="Q212" s="153"/>
      <c r="R212" s="153"/>
    </row>
    <row r="213" spans="1:18" s="2" customFormat="1" ht="27" thickBot="1">
      <c r="A213" s="381" t="s">
        <v>85</v>
      </c>
      <c r="B213" s="382"/>
      <c r="C213" s="166">
        <f>+IF(C168&gt;O209,O209,C168)</f>
        <v>0</v>
      </c>
      <c r="D213" s="153"/>
      <c r="E213" s="153"/>
      <c r="F213" s="153"/>
      <c r="G213" s="153"/>
      <c r="H213" s="153"/>
      <c r="I213" s="153"/>
      <c r="J213" s="231" t="s">
        <v>70</v>
      </c>
      <c r="K213" s="232"/>
      <c r="L213" s="232"/>
      <c r="M213" s="235"/>
      <c r="N213" s="235"/>
      <c r="O213" s="236">
        <f>+O209-O211-O212</f>
        <v>4.547473508864641E-13</v>
      </c>
      <c r="P213" s="153"/>
      <c r="Q213" s="153"/>
      <c r="R213" s="153"/>
    </row>
    <row r="214" spans="1:18" s="2" customFormat="1" ht="12.75" thickBot="1">
      <c r="A214" s="153"/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</row>
    <row r="215" spans="1:18" s="2" customFormat="1" ht="12">
      <c r="A215" s="184" t="str">
        <f>+A4</f>
        <v>Tabla</v>
      </c>
      <c r="B215" s="184"/>
      <c r="C215" s="184">
        <f aca="true" t="shared" si="31" ref="C215:N215">+C4</f>
        <v>1</v>
      </c>
      <c r="D215" s="184">
        <f t="shared" si="31"/>
        <v>2</v>
      </c>
      <c r="E215" s="184">
        <f t="shared" si="31"/>
        <v>3</v>
      </c>
      <c r="F215" s="184">
        <f t="shared" si="31"/>
        <v>4</v>
      </c>
      <c r="G215" s="184">
        <f t="shared" si="31"/>
        <v>5</v>
      </c>
      <c r="H215" s="184">
        <f t="shared" si="31"/>
        <v>6</v>
      </c>
      <c r="I215" s="184">
        <f t="shared" si="31"/>
        <v>7</v>
      </c>
      <c r="J215" s="184">
        <f t="shared" si="31"/>
        <v>8</v>
      </c>
      <c r="K215" s="184">
        <f t="shared" si="31"/>
        <v>9</v>
      </c>
      <c r="L215" s="184">
        <f t="shared" si="31"/>
        <v>10</v>
      </c>
      <c r="M215" s="184">
        <f t="shared" si="31"/>
        <v>11</v>
      </c>
      <c r="N215" s="184">
        <f t="shared" si="31"/>
        <v>12</v>
      </c>
      <c r="O215" s="153"/>
      <c r="P215" s="153"/>
      <c r="Q215" s="153"/>
      <c r="R215" s="153"/>
    </row>
    <row r="216" spans="1:18" s="2" customFormat="1" ht="15">
      <c r="A216" s="303" t="s">
        <v>112</v>
      </c>
      <c r="B216" s="304"/>
      <c r="C216" s="185">
        <f>+C8*0.5</f>
        <v>0</v>
      </c>
      <c r="D216" s="185">
        <f>+D8*0.5</f>
        <v>0</v>
      </c>
      <c r="E216" s="185">
        <f>+E8*0.5</f>
        <v>0</v>
      </c>
      <c r="F216" s="185">
        <f>+F8*0.5</f>
        <v>0</v>
      </c>
      <c r="G216" s="185">
        <f>+G8*0.5</f>
        <v>0</v>
      </c>
      <c r="H216" s="185">
        <f>+H8*0.5</f>
        <v>0</v>
      </c>
      <c r="I216" s="185">
        <f>+I8*0.5</f>
        <v>0</v>
      </c>
      <c r="J216" s="185">
        <f>+J8*0.5</f>
        <v>0</v>
      </c>
      <c r="K216" s="185">
        <f>+K8*0.5</f>
        <v>0</v>
      </c>
      <c r="L216" s="185">
        <f>+L8*0.5</f>
        <v>0</v>
      </c>
      <c r="M216" s="185">
        <f>+M8*0.5</f>
        <v>0</v>
      </c>
      <c r="N216" s="185">
        <f>+N8*0.5</f>
        <v>0</v>
      </c>
      <c r="O216" s="186">
        <f>+SUM(C216:N216)</f>
        <v>0</v>
      </c>
      <c r="P216" s="153"/>
      <c r="Q216" s="153"/>
      <c r="R216" s="153"/>
    </row>
    <row r="217" spans="1:18" s="2" customFormat="1" ht="15">
      <c r="A217" s="303" t="s">
        <v>111</v>
      </c>
      <c r="B217" s="304"/>
      <c r="C217" s="185">
        <f>C9-(+C9*0.666666667)</f>
        <v>0</v>
      </c>
      <c r="D217" s="185">
        <f>+D9*0.666666667</f>
        <v>0</v>
      </c>
      <c r="E217" s="185">
        <f>+E9*0.666666667</f>
        <v>0</v>
      </c>
      <c r="F217" s="185">
        <f>+F9*0.666666667</f>
        <v>0</v>
      </c>
      <c r="G217" s="185">
        <f>+G9*0.666666667</f>
        <v>0</v>
      </c>
      <c r="H217" s="185">
        <f>+H9*0.666666667</f>
        <v>0</v>
      </c>
      <c r="I217" s="185">
        <f>+I9*0.666666667</f>
        <v>0</v>
      </c>
      <c r="J217" s="185">
        <f>+J9*0.666666667</f>
        <v>0</v>
      </c>
      <c r="K217" s="185">
        <f>+K9*0.666666667</f>
        <v>0</v>
      </c>
      <c r="L217" s="185">
        <f>+L9*0.666666667</f>
        <v>0</v>
      </c>
      <c r="M217" s="185">
        <f>+M9*0.666666667</f>
        <v>0</v>
      </c>
      <c r="N217" s="185">
        <f>+N9*0.666666667</f>
        <v>0</v>
      </c>
      <c r="O217" s="186">
        <f>+SUM(C217:N217)</f>
        <v>0</v>
      </c>
      <c r="P217" s="153"/>
      <c r="Q217" s="153"/>
      <c r="R217" s="153"/>
    </row>
    <row r="218" spans="1:18" s="2" customFormat="1" ht="12">
      <c r="A218" s="187" t="s">
        <v>115</v>
      </c>
      <c r="B218" s="187"/>
      <c r="C218" s="188">
        <f>+C216+C217</f>
        <v>0</v>
      </c>
      <c r="D218" s="188">
        <f aca="true" t="shared" si="32" ref="D218:N218">+D216+D217</f>
        <v>0</v>
      </c>
      <c r="E218" s="188">
        <f t="shared" si="32"/>
        <v>0</v>
      </c>
      <c r="F218" s="188">
        <f t="shared" si="32"/>
        <v>0</v>
      </c>
      <c r="G218" s="188">
        <f t="shared" si="32"/>
        <v>0</v>
      </c>
      <c r="H218" s="188">
        <f t="shared" si="32"/>
        <v>0</v>
      </c>
      <c r="I218" s="188">
        <f t="shared" si="32"/>
        <v>0</v>
      </c>
      <c r="J218" s="188">
        <f t="shared" si="32"/>
        <v>0</v>
      </c>
      <c r="K218" s="188">
        <f t="shared" si="32"/>
        <v>0</v>
      </c>
      <c r="L218" s="188">
        <f t="shared" si="32"/>
        <v>0</v>
      </c>
      <c r="M218" s="188">
        <f t="shared" si="32"/>
        <v>0</v>
      </c>
      <c r="N218" s="188">
        <f t="shared" si="32"/>
        <v>0</v>
      </c>
      <c r="O218" s="188"/>
      <c r="P218" s="153"/>
      <c r="Q218" s="153"/>
      <c r="R218" s="153"/>
    </row>
    <row r="219" spans="1:18" s="2" customFormat="1" ht="12.75" thickBot="1">
      <c r="A219" s="153"/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</row>
    <row r="220" spans="1:18" s="2" customFormat="1" ht="15">
      <c r="A220" s="308" t="s">
        <v>15</v>
      </c>
      <c r="B220" s="309"/>
      <c r="C220" s="189">
        <f>+C218*0.11</f>
        <v>0</v>
      </c>
      <c r="D220" s="189">
        <f>+D218*0.11</f>
        <v>0</v>
      </c>
      <c r="E220" s="189">
        <f>+E218*0.11</f>
        <v>0</v>
      </c>
      <c r="F220" s="189">
        <f>+F218*0.11</f>
        <v>0</v>
      </c>
      <c r="G220" s="189">
        <f aca="true" t="shared" si="33" ref="G220:N220">+G218*0.11</f>
        <v>0</v>
      </c>
      <c r="H220" s="189">
        <f t="shared" si="33"/>
        <v>0</v>
      </c>
      <c r="I220" s="189">
        <f t="shared" si="33"/>
        <v>0</v>
      </c>
      <c r="J220" s="189">
        <f t="shared" si="33"/>
        <v>0</v>
      </c>
      <c r="K220" s="189">
        <f t="shared" si="33"/>
        <v>0</v>
      </c>
      <c r="L220" s="189">
        <f t="shared" si="33"/>
        <v>0</v>
      </c>
      <c r="M220" s="189">
        <f t="shared" si="33"/>
        <v>0</v>
      </c>
      <c r="N220" s="189">
        <f t="shared" si="33"/>
        <v>0</v>
      </c>
      <c r="O220" s="190">
        <f>+SUM(C220:N220)</f>
        <v>0</v>
      </c>
      <c r="P220" s="153"/>
      <c r="Q220" s="153"/>
      <c r="R220" s="153"/>
    </row>
    <row r="221" spans="1:18" s="2" customFormat="1" ht="15">
      <c r="A221" s="303" t="s">
        <v>19</v>
      </c>
      <c r="B221" s="304"/>
      <c r="C221" s="185">
        <f>+C220/11*3</f>
        <v>0</v>
      </c>
      <c r="D221" s="185">
        <f>+D220/11*3</f>
        <v>0</v>
      </c>
      <c r="E221" s="185">
        <f>+E220/11*3</f>
        <v>0</v>
      </c>
      <c r="F221" s="185">
        <f>+F220/11*3</f>
        <v>0</v>
      </c>
      <c r="G221" s="185">
        <f aca="true" t="shared" si="34" ref="G221:N221">+G220/11*3</f>
        <v>0</v>
      </c>
      <c r="H221" s="185">
        <f t="shared" si="34"/>
        <v>0</v>
      </c>
      <c r="I221" s="185">
        <f t="shared" si="34"/>
        <v>0</v>
      </c>
      <c r="J221" s="185">
        <f t="shared" si="34"/>
        <v>0</v>
      </c>
      <c r="K221" s="185">
        <f t="shared" si="34"/>
        <v>0</v>
      </c>
      <c r="L221" s="185">
        <f t="shared" si="34"/>
        <v>0</v>
      </c>
      <c r="M221" s="185">
        <f t="shared" si="34"/>
        <v>0</v>
      </c>
      <c r="N221" s="185">
        <f t="shared" si="34"/>
        <v>0</v>
      </c>
      <c r="O221" s="186">
        <f>+SUM(C221:N221)</f>
        <v>0</v>
      </c>
      <c r="P221" s="153"/>
      <c r="Q221" s="153"/>
      <c r="R221" s="153"/>
    </row>
    <row r="222" spans="1:18" s="2" customFormat="1" ht="15">
      <c r="A222" s="303" t="s">
        <v>20</v>
      </c>
      <c r="B222" s="304"/>
      <c r="C222" s="185">
        <f>+C221</f>
        <v>0</v>
      </c>
      <c r="D222" s="185">
        <f>+D221</f>
        <v>0</v>
      </c>
      <c r="E222" s="185">
        <f>+E221</f>
        <v>0</v>
      </c>
      <c r="F222" s="185">
        <f>+F221</f>
        <v>0</v>
      </c>
      <c r="G222" s="185">
        <f aca="true" t="shared" si="35" ref="G222:N222">+G221</f>
        <v>0</v>
      </c>
      <c r="H222" s="185">
        <f t="shared" si="35"/>
        <v>0</v>
      </c>
      <c r="I222" s="185">
        <f t="shared" si="35"/>
        <v>0</v>
      </c>
      <c r="J222" s="185">
        <f t="shared" si="35"/>
        <v>0</v>
      </c>
      <c r="K222" s="185">
        <f t="shared" si="35"/>
        <v>0</v>
      </c>
      <c r="L222" s="185">
        <f t="shared" si="35"/>
        <v>0</v>
      </c>
      <c r="M222" s="185">
        <f t="shared" si="35"/>
        <v>0</v>
      </c>
      <c r="N222" s="185">
        <f t="shared" si="35"/>
        <v>0</v>
      </c>
      <c r="O222" s="186">
        <f>+SUM(C222:N222)</f>
        <v>0</v>
      </c>
      <c r="P222" s="153"/>
      <c r="Q222" s="153"/>
      <c r="R222" s="153"/>
    </row>
    <row r="223" spans="1:18" s="2" customFormat="1" ht="15">
      <c r="A223" s="303" t="s">
        <v>22</v>
      </c>
      <c r="B223" s="304"/>
      <c r="C223" s="185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6">
        <f>+SUM(C223:N223)</f>
        <v>0</v>
      </c>
      <c r="P223" s="153"/>
      <c r="Q223" s="153"/>
      <c r="R223" s="153"/>
    </row>
    <row r="224" spans="1:18" s="2" customFormat="1" ht="15.75" thickBot="1">
      <c r="A224" s="305" t="s">
        <v>21</v>
      </c>
      <c r="B224" s="306"/>
      <c r="C224" s="242">
        <f>+C222/3*2</f>
        <v>0</v>
      </c>
      <c r="D224" s="242">
        <f aca="true" t="shared" si="36" ref="D224:N224">+D222/3*1</f>
        <v>0</v>
      </c>
      <c r="E224" s="242">
        <f t="shared" si="36"/>
        <v>0</v>
      </c>
      <c r="F224" s="242">
        <f t="shared" si="36"/>
        <v>0</v>
      </c>
      <c r="G224" s="242">
        <f t="shared" si="36"/>
        <v>0</v>
      </c>
      <c r="H224" s="242">
        <f t="shared" si="36"/>
        <v>0</v>
      </c>
      <c r="I224" s="242">
        <f t="shared" si="36"/>
        <v>0</v>
      </c>
      <c r="J224" s="242">
        <f t="shared" si="36"/>
        <v>0</v>
      </c>
      <c r="K224" s="242">
        <f t="shared" si="36"/>
        <v>0</v>
      </c>
      <c r="L224" s="242">
        <f t="shared" si="36"/>
        <v>0</v>
      </c>
      <c r="M224" s="242">
        <f t="shared" si="36"/>
        <v>0</v>
      </c>
      <c r="N224" s="242">
        <f t="shared" si="36"/>
        <v>0</v>
      </c>
      <c r="O224" s="198">
        <f>+SUM(C224:N224)</f>
        <v>0</v>
      </c>
      <c r="P224" s="153"/>
      <c r="Q224" s="153"/>
      <c r="R224" s="153"/>
    </row>
    <row r="225" spans="1:18" s="2" customFormat="1" ht="12">
      <c r="A225" s="153"/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>
        <f>SUM(O220:O224)</f>
        <v>0</v>
      </c>
      <c r="P225" s="153"/>
      <c r="Q225" s="153"/>
      <c r="R225" s="153"/>
    </row>
    <row r="226" spans="1:18" ht="12.75" thickBot="1">
      <c r="A226" s="153"/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</row>
    <row r="227" spans="1:18" s="2" customFormat="1" ht="15">
      <c r="A227" s="308" t="str">
        <f>+A8</f>
        <v>HORAS EXTRAS 100% EXCENTAS</v>
      </c>
      <c r="B227" s="309"/>
      <c r="C227" s="189">
        <f>+C8*0.5</f>
        <v>0</v>
      </c>
      <c r="D227" s="189">
        <f>+D8*0.5</f>
        <v>0</v>
      </c>
      <c r="E227" s="189">
        <f>+E8*0.5</f>
        <v>0</v>
      </c>
      <c r="F227" s="189">
        <f>+F8*0.5</f>
        <v>0</v>
      </c>
      <c r="G227" s="189">
        <f>+G8*0.5</f>
        <v>0</v>
      </c>
      <c r="H227" s="189">
        <f>+H8*0.5</f>
        <v>0</v>
      </c>
      <c r="I227" s="189">
        <f>+I8*0.5</f>
        <v>0</v>
      </c>
      <c r="J227" s="189">
        <f>+J8*0.5</f>
        <v>0</v>
      </c>
      <c r="K227" s="189">
        <f>+K8*0.5</f>
        <v>0</v>
      </c>
      <c r="L227" s="189">
        <f>+L8*0.5</f>
        <v>0</v>
      </c>
      <c r="M227" s="189">
        <f>+M8*0.5</f>
        <v>0</v>
      </c>
      <c r="N227" s="189">
        <f>+N8*0.5</f>
        <v>0</v>
      </c>
      <c r="O227" s="190">
        <f>+SUM(C227:N227)</f>
        <v>0</v>
      </c>
      <c r="P227" s="153"/>
      <c r="Q227" s="153"/>
      <c r="R227" s="153"/>
    </row>
    <row r="228" spans="1:18" s="2" customFormat="1" ht="15">
      <c r="A228" s="303" t="str">
        <f>+A9</f>
        <v>HORAS EXTRAS 50% EXCENTAS</v>
      </c>
      <c r="B228" s="304"/>
      <c r="C228" s="185">
        <f>+C9*0.666666667</f>
        <v>0</v>
      </c>
      <c r="D228" s="185">
        <f>+D9*0.666666667</f>
        <v>0</v>
      </c>
      <c r="E228" s="185">
        <f>+E9*0.666666667</f>
        <v>0</v>
      </c>
      <c r="F228" s="185">
        <f>+F9*0.666666667</f>
        <v>0</v>
      </c>
      <c r="G228" s="185">
        <f>+G9*0.666666667</f>
        <v>0</v>
      </c>
      <c r="H228" s="185">
        <f>+H9*0.666666667</f>
        <v>0</v>
      </c>
      <c r="I228" s="185">
        <f>+I9*0.666666667</f>
        <v>0</v>
      </c>
      <c r="J228" s="185">
        <f>+J9*0.666666667</f>
        <v>0</v>
      </c>
      <c r="K228" s="185">
        <f>+K9*0.666666667</f>
        <v>0</v>
      </c>
      <c r="L228" s="185">
        <f>+L9*0.666666667</f>
        <v>0</v>
      </c>
      <c r="M228" s="185">
        <f>+M9*0.666666667</f>
        <v>0</v>
      </c>
      <c r="N228" s="185">
        <f>+N9*0.666666667</f>
        <v>0</v>
      </c>
      <c r="O228" s="186">
        <f>+SUM(C228:N228)</f>
        <v>0</v>
      </c>
      <c r="P228" s="153"/>
      <c r="Q228" s="153"/>
      <c r="R228" s="153"/>
    </row>
    <row r="229" spans="1:18" s="2" customFormat="1" ht="15.75" thickBot="1">
      <c r="A229" s="305" t="str">
        <f>+A10</f>
        <v>HORAS EXTRAS 50%</v>
      </c>
      <c r="B229" s="306"/>
      <c r="C229" s="242">
        <f aca="true" t="shared" si="37" ref="C229:N229">+C10</f>
        <v>0</v>
      </c>
      <c r="D229" s="242">
        <f t="shared" si="37"/>
        <v>0</v>
      </c>
      <c r="E229" s="242">
        <f t="shared" si="37"/>
        <v>0</v>
      </c>
      <c r="F229" s="242">
        <f t="shared" si="37"/>
        <v>0</v>
      </c>
      <c r="G229" s="242">
        <f t="shared" si="37"/>
        <v>0</v>
      </c>
      <c r="H229" s="242">
        <f t="shared" si="37"/>
        <v>0</v>
      </c>
      <c r="I229" s="242">
        <f t="shared" si="37"/>
        <v>0</v>
      </c>
      <c r="J229" s="242">
        <f t="shared" si="37"/>
        <v>0</v>
      </c>
      <c r="K229" s="242">
        <f t="shared" si="37"/>
        <v>0</v>
      </c>
      <c r="L229" s="242">
        <f t="shared" si="37"/>
        <v>0</v>
      </c>
      <c r="M229" s="242">
        <f t="shared" si="37"/>
        <v>0</v>
      </c>
      <c r="N229" s="242">
        <f t="shared" si="37"/>
        <v>0</v>
      </c>
      <c r="O229" s="198">
        <f>+SUM(C229:N229)</f>
        <v>0</v>
      </c>
      <c r="P229" s="153"/>
      <c r="Q229" s="153"/>
      <c r="R229" s="153"/>
    </row>
    <row r="230" spans="1:18" s="2" customFormat="1" ht="12.75" thickBot="1">
      <c r="A230" s="187" t="s">
        <v>115</v>
      </c>
      <c r="B230" s="187"/>
      <c r="C230" s="188">
        <f>+SUM(C227:C229)</f>
        <v>0</v>
      </c>
      <c r="D230" s="188">
        <f aca="true" t="shared" si="38" ref="D230:N230">+SUM(D227:D229)</f>
        <v>0</v>
      </c>
      <c r="E230" s="188">
        <f t="shared" si="38"/>
        <v>0</v>
      </c>
      <c r="F230" s="188">
        <f t="shared" si="38"/>
        <v>0</v>
      </c>
      <c r="G230" s="188">
        <f t="shared" si="38"/>
        <v>0</v>
      </c>
      <c r="H230" s="188">
        <f t="shared" si="38"/>
        <v>0</v>
      </c>
      <c r="I230" s="188">
        <f t="shared" si="38"/>
        <v>0</v>
      </c>
      <c r="J230" s="188">
        <f t="shared" si="38"/>
        <v>0</v>
      </c>
      <c r="K230" s="188">
        <f t="shared" si="38"/>
        <v>0</v>
      </c>
      <c r="L230" s="188">
        <f t="shared" si="38"/>
        <v>0</v>
      </c>
      <c r="M230" s="188">
        <f t="shared" si="38"/>
        <v>0</v>
      </c>
      <c r="N230" s="188">
        <f t="shared" si="38"/>
        <v>0</v>
      </c>
      <c r="O230" s="188">
        <f>+SUM(O227:O229)</f>
        <v>0</v>
      </c>
      <c r="P230" s="153"/>
      <c r="Q230" s="153"/>
      <c r="R230" s="153"/>
    </row>
    <row r="231" spans="1:18" s="2" customFormat="1" ht="15">
      <c r="A231" s="303" t="s">
        <v>15</v>
      </c>
      <c r="B231" s="304"/>
      <c r="C231" s="189">
        <f>+C230*0.11</f>
        <v>0</v>
      </c>
      <c r="D231" s="189">
        <f>+D230*0.11</f>
        <v>0</v>
      </c>
      <c r="E231" s="189">
        <f>+E230*0.11</f>
        <v>0</v>
      </c>
      <c r="F231" s="189">
        <f>+F230*0.11</f>
        <v>0</v>
      </c>
      <c r="G231" s="189">
        <f aca="true" t="shared" si="39" ref="G231:N231">+G230*0.11</f>
        <v>0</v>
      </c>
      <c r="H231" s="189">
        <f t="shared" si="39"/>
        <v>0</v>
      </c>
      <c r="I231" s="189">
        <f t="shared" si="39"/>
        <v>0</v>
      </c>
      <c r="J231" s="189">
        <f t="shared" si="39"/>
        <v>0</v>
      </c>
      <c r="K231" s="189">
        <f t="shared" si="39"/>
        <v>0</v>
      </c>
      <c r="L231" s="189">
        <f t="shared" si="39"/>
        <v>0</v>
      </c>
      <c r="M231" s="189">
        <f t="shared" si="39"/>
        <v>0</v>
      </c>
      <c r="N231" s="189">
        <f t="shared" si="39"/>
        <v>0</v>
      </c>
      <c r="O231" s="190">
        <f>+SUM(C231:N231)</f>
        <v>0</v>
      </c>
      <c r="P231" s="153"/>
      <c r="Q231" s="153"/>
      <c r="R231" s="153"/>
    </row>
    <row r="232" spans="1:18" s="2" customFormat="1" ht="15">
      <c r="A232" s="303" t="s">
        <v>19</v>
      </c>
      <c r="B232" s="304"/>
      <c r="C232" s="185">
        <f>+C231/11*3</f>
        <v>0</v>
      </c>
      <c r="D232" s="185">
        <f>+D231/11*3</f>
        <v>0</v>
      </c>
      <c r="E232" s="185">
        <f>+E231/11*3</f>
        <v>0</v>
      </c>
      <c r="F232" s="185">
        <f>+F231/11*3</f>
        <v>0</v>
      </c>
      <c r="G232" s="185">
        <f aca="true" t="shared" si="40" ref="G232:N232">+G231/11*3</f>
        <v>0</v>
      </c>
      <c r="H232" s="185">
        <f t="shared" si="40"/>
        <v>0</v>
      </c>
      <c r="I232" s="185">
        <f t="shared" si="40"/>
        <v>0</v>
      </c>
      <c r="J232" s="185">
        <f t="shared" si="40"/>
        <v>0</v>
      </c>
      <c r="K232" s="185">
        <f t="shared" si="40"/>
        <v>0</v>
      </c>
      <c r="L232" s="185">
        <f t="shared" si="40"/>
        <v>0</v>
      </c>
      <c r="M232" s="185">
        <f t="shared" si="40"/>
        <v>0</v>
      </c>
      <c r="N232" s="185">
        <f t="shared" si="40"/>
        <v>0</v>
      </c>
      <c r="O232" s="186">
        <f>+SUM(C232:N232)</f>
        <v>0</v>
      </c>
      <c r="P232" s="153"/>
      <c r="Q232" s="153"/>
      <c r="R232" s="153"/>
    </row>
    <row r="233" spans="1:18" s="2" customFormat="1" ht="15">
      <c r="A233" s="303" t="s">
        <v>20</v>
      </c>
      <c r="B233" s="304"/>
      <c r="C233" s="185">
        <f>+C232</f>
        <v>0</v>
      </c>
      <c r="D233" s="185">
        <f>+D232</f>
        <v>0</v>
      </c>
      <c r="E233" s="185">
        <f>+E232</f>
        <v>0</v>
      </c>
      <c r="F233" s="185">
        <f>+F232</f>
        <v>0</v>
      </c>
      <c r="G233" s="185">
        <f aca="true" t="shared" si="41" ref="G233:N233">+G232</f>
        <v>0</v>
      </c>
      <c r="H233" s="185">
        <f t="shared" si="41"/>
        <v>0</v>
      </c>
      <c r="I233" s="185">
        <f t="shared" si="41"/>
        <v>0</v>
      </c>
      <c r="J233" s="185">
        <f t="shared" si="41"/>
        <v>0</v>
      </c>
      <c r="K233" s="185">
        <f t="shared" si="41"/>
        <v>0</v>
      </c>
      <c r="L233" s="185">
        <f t="shared" si="41"/>
        <v>0</v>
      </c>
      <c r="M233" s="185">
        <f t="shared" si="41"/>
        <v>0</v>
      </c>
      <c r="N233" s="185">
        <f t="shared" si="41"/>
        <v>0</v>
      </c>
      <c r="O233" s="186">
        <f>+SUM(C233:N233)</f>
        <v>0</v>
      </c>
      <c r="P233" s="153"/>
      <c r="Q233" s="153"/>
      <c r="R233" s="153"/>
    </row>
    <row r="234" spans="1:18" s="2" customFormat="1" ht="15">
      <c r="A234" s="303"/>
      <c r="B234" s="304"/>
      <c r="C234" s="185"/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  <c r="N234" s="185"/>
      <c r="O234" s="186">
        <f>+SUM(C234:N234)</f>
        <v>0</v>
      </c>
      <c r="P234" s="153"/>
      <c r="Q234" s="153"/>
      <c r="R234" s="153"/>
    </row>
    <row r="235" spans="1:18" s="2" customFormat="1" ht="15.75" thickBot="1">
      <c r="A235" s="305" t="s">
        <v>21</v>
      </c>
      <c r="B235" s="306"/>
      <c r="C235" s="242">
        <f>+C233/3*2</f>
        <v>0</v>
      </c>
      <c r="D235" s="242">
        <f aca="true" t="shared" si="42" ref="D235:N235">+D233/3*1</f>
        <v>0</v>
      </c>
      <c r="E235" s="242">
        <f t="shared" si="42"/>
        <v>0</v>
      </c>
      <c r="F235" s="242">
        <f t="shared" si="42"/>
        <v>0</v>
      </c>
      <c r="G235" s="242">
        <f t="shared" si="42"/>
        <v>0</v>
      </c>
      <c r="H235" s="242">
        <f t="shared" si="42"/>
        <v>0</v>
      </c>
      <c r="I235" s="242">
        <f t="shared" si="42"/>
        <v>0</v>
      </c>
      <c r="J235" s="242">
        <f t="shared" si="42"/>
        <v>0</v>
      </c>
      <c r="K235" s="242">
        <f t="shared" si="42"/>
        <v>0</v>
      </c>
      <c r="L235" s="242">
        <f t="shared" si="42"/>
        <v>0</v>
      </c>
      <c r="M235" s="242">
        <f t="shared" si="42"/>
        <v>0</v>
      </c>
      <c r="N235" s="242">
        <f t="shared" si="42"/>
        <v>0</v>
      </c>
      <c r="O235" s="198">
        <f>+SUM(C235:N235)</f>
        <v>0</v>
      </c>
      <c r="P235" s="153"/>
      <c r="Q235" s="153"/>
      <c r="R235" s="153"/>
    </row>
    <row r="236" spans="1:18" s="2" customFormat="1" ht="12.75" thickBot="1">
      <c r="A236" s="243" t="s">
        <v>114</v>
      </c>
      <c r="B236" s="225"/>
      <c r="C236" s="244">
        <f>+C230-C231-C232-C233-C234-C235</f>
        <v>0</v>
      </c>
      <c r="D236" s="244">
        <f>+D230-D231-D232-D233-D234-D235</f>
        <v>0</v>
      </c>
      <c r="E236" s="244">
        <f>+E230-E231-E232-E233-E234-E235</f>
        <v>0</v>
      </c>
      <c r="F236" s="244">
        <f aca="true" t="shared" si="43" ref="F236:N236">+F230-F231-F232-F233-F234-F235</f>
        <v>0</v>
      </c>
      <c r="G236" s="244">
        <f t="shared" si="43"/>
        <v>0</v>
      </c>
      <c r="H236" s="244">
        <f t="shared" si="43"/>
        <v>0</v>
      </c>
      <c r="I236" s="244">
        <f t="shared" si="43"/>
        <v>0</v>
      </c>
      <c r="J236" s="244">
        <f t="shared" si="43"/>
        <v>0</v>
      </c>
      <c r="K236" s="244">
        <f t="shared" si="43"/>
        <v>0</v>
      </c>
      <c r="L236" s="244">
        <f t="shared" si="43"/>
        <v>0</v>
      </c>
      <c r="M236" s="244">
        <f t="shared" si="43"/>
        <v>0</v>
      </c>
      <c r="N236" s="244">
        <f t="shared" si="43"/>
        <v>0</v>
      </c>
      <c r="O236" s="245">
        <f>+O230-O231-O232-O233-O234-O235</f>
        <v>0</v>
      </c>
      <c r="P236" s="153"/>
      <c r="Q236" s="153"/>
      <c r="R236" s="153"/>
    </row>
    <row r="237" spans="1:18" ht="12">
      <c r="A237" s="153"/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  <c r="R237" s="153"/>
    </row>
    <row r="238" spans="1:18" ht="12">
      <c r="A238" s="153"/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</row>
    <row r="239" spans="1:18" ht="12.75" thickBot="1">
      <c r="A239" s="153"/>
      <c r="B239" s="153"/>
      <c r="C239" s="153"/>
      <c r="D239" s="153"/>
      <c r="E239" s="153"/>
      <c r="F239" s="180" t="s">
        <v>97</v>
      </c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  <c r="R239" s="153"/>
    </row>
    <row r="240" spans="1:18" ht="12.75" thickBot="1">
      <c r="A240" s="69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1"/>
    </row>
    <row r="241" spans="1:18" ht="12">
      <c r="A241" s="153"/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</row>
    <row r="242" spans="1:18" ht="12">
      <c r="A242" s="336" t="s">
        <v>155</v>
      </c>
      <c r="B242" s="336"/>
      <c r="C242" s="336"/>
      <c r="D242" s="336"/>
      <c r="E242" s="336"/>
      <c r="F242" s="336"/>
      <c r="G242" s="336"/>
      <c r="H242" s="336"/>
      <c r="I242" s="336"/>
      <c r="J242" s="336"/>
      <c r="K242" s="336"/>
      <c r="L242" s="336"/>
      <c r="M242" s="336"/>
      <c r="N242" s="336"/>
      <c r="O242" s="153"/>
      <c r="P242" s="153"/>
      <c r="Q242" s="153"/>
      <c r="R242" s="153"/>
    </row>
    <row r="243" spans="1:18" ht="12">
      <c r="A243" s="140"/>
      <c r="B243" s="140"/>
      <c r="C243" s="140">
        <v>1</v>
      </c>
      <c r="D243" s="140">
        <v>2</v>
      </c>
      <c r="E243" s="140">
        <v>3</v>
      </c>
      <c r="F243" s="140">
        <v>4</v>
      </c>
      <c r="G243" s="140">
        <v>5</v>
      </c>
      <c r="H243" s="140">
        <v>6</v>
      </c>
      <c r="I243" s="140">
        <v>7</v>
      </c>
      <c r="J243" s="140">
        <v>8</v>
      </c>
      <c r="K243" s="140">
        <v>9</v>
      </c>
      <c r="L243" s="140">
        <v>10</v>
      </c>
      <c r="M243" s="140">
        <v>11</v>
      </c>
      <c r="N243" s="140">
        <v>12</v>
      </c>
      <c r="O243" s="153"/>
      <c r="P243" s="153"/>
      <c r="Q243" s="153"/>
      <c r="R243" s="153"/>
    </row>
    <row r="244" spans="1:18" ht="12.75" thickBot="1">
      <c r="A244" s="246" t="s">
        <v>96</v>
      </c>
      <c r="B244" s="246"/>
      <c r="C244" s="247">
        <v>44197</v>
      </c>
      <c r="D244" s="247">
        <v>44228</v>
      </c>
      <c r="E244" s="247">
        <v>44256</v>
      </c>
      <c r="F244" s="247">
        <v>44287</v>
      </c>
      <c r="G244" s="247">
        <v>44317</v>
      </c>
      <c r="H244" s="247">
        <v>44348</v>
      </c>
      <c r="I244" s="247">
        <v>44378</v>
      </c>
      <c r="J244" s="247">
        <v>44409</v>
      </c>
      <c r="K244" s="247">
        <v>44440</v>
      </c>
      <c r="L244" s="247">
        <v>44470</v>
      </c>
      <c r="M244" s="247">
        <v>44501</v>
      </c>
      <c r="N244" s="247">
        <v>44531</v>
      </c>
      <c r="O244" s="153"/>
      <c r="P244" s="141" t="s">
        <v>187</v>
      </c>
      <c r="Q244" s="141" t="s">
        <v>188</v>
      </c>
      <c r="R244" s="153"/>
    </row>
    <row r="245" spans="1:18" ht="15">
      <c r="A245" s="373" t="s">
        <v>35</v>
      </c>
      <c r="B245" s="374"/>
      <c r="C245" s="251">
        <f aca="true" t="shared" si="44" ref="C245:M250">+ROUND($N245/12,4)*C$243</f>
        <v>13973.2</v>
      </c>
      <c r="D245" s="251">
        <f t="shared" si="44"/>
        <v>27946.4</v>
      </c>
      <c r="E245" s="251">
        <f t="shared" si="44"/>
        <v>41919.600000000006</v>
      </c>
      <c r="F245" s="251">
        <f t="shared" si="44"/>
        <v>55892.8</v>
      </c>
      <c r="G245" s="251">
        <f t="shared" si="44"/>
        <v>69866</v>
      </c>
      <c r="H245" s="251">
        <f t="shared" si="44"/>
        <v>83839.20000000001</v>
      </c>
      <c r="I245" s="251">
        <f t="shared" si="44"/>
        <v>97812.40000000001</v>
      </c>
      <c r="J245" s="251">
        <f t="shared" si="44"/>
        <v>111785.6</v>
      </c>
      <c r="K245" s="251">
        <f t="shared" si="44"/>
        <v>125758.8</v>
      </c>
      <c r="L245" s="251">
        <f t="shared" si="44"/>
        <v>139732</v>
      </c>
      <c r="M245" s="251">
        <f t="shared" si="44"/>
        <v>153705.2</v>
      </c>
      <c r="N245" s="251">
        <f>+Q245</f>
        <v>167678.4</v>
      </c>
      <c r="O245" s="153"/>
      <c r="P245" s="191">
        <v>123861.17</v>
      </c>
      <c r="Q245" s="191">
        <f>+ROUND(P245*$C$270/100+P245,2)</f>
        <v>167678.4</v>
      </c>
      <c r="R245" s="153"/>
    </row>
    <row r="246" spans="1:18" ht="15">
      <c r="A246" s="338" t="s">
        <v>36</v>
      </c>
      <c r="B246" s="339"/>
      <c r="C246" s="252">
        <f t="shared" si="44"/>
        <v>13026.7192</v>
      </c>
      <c r="D246" s="252">
        <f t="shared" si="44"/>
        <v>26053.4384</v>
      </c>
      <c r="E246" s="252">
        <f t="shared" si="44"/>
        <v>39080.1576</v>
      </c>
      <c r="F246" s="252">
        <f t="shared" si="44"/>
        <v>52106.8768</v>
      </c>
      <c r="G246" s="252">
        <f t="shared" si="44"/>
        <v>65133.596</v>
      </c>
      <c r="H246" s="252">
        <f t="shared" si="44"/>
        <v>78160.3152</v>
      </c>
      <c r="I246" s="252">
        <f t="shared" si="44"/>
        <v>91187.0344</v>
      </c>
      <c r="J246" s="252">
        <f t="shared" si="44"/>
        <v>104213.7536</v>
      </c>
      <c r="K246" s="252">
        <f t="shared" si="44"/>
        <v>117240.47279999999</v>
      </c>
      <c r="L246" s="252">
        <f t="shared" si="44"/>
        <v>130267.192</v>
      </c>
      <c r="M246" s="252">
        <f t="shared" si="44"/>
        <v>143293.9112</v>
      </c>
      <c r="N246" s="252">
        <f>+Q246</f>
        <v>156320.63</v>
      </c>
      <c r="O246" s="153"/>
      <c r="P246" s="191">
        <v>115471.38</v>
      </c>
      <c r="Q246" s="191">
        <f>+ROUND(P246*$C$270/100+P246,2)</f>
        <v>156320.63</v>
      </c>
      <c r="R246" s="153"/>
    </row>
    <row r="247" spans="1:18" ht="15">
      <c r="A247" s="338" t="s">
        <v>37</v>
      </c>
      <c r="B247" s="339"/>
      <c r="C247" s="252">
        <f t="shared" si="44"/>
        <v>6569.4233</v>
      </c>
      <c r="D247" s="252">
        <f t="shared" si="44"/>
        <v>13138.8466</v>
      </c>
      <c r="E247" s="252">
        <f t="shared" si="44"/>
        <v>19708.2699</v>
      </c>
      <c r="F247" s="252">
        <f t="shared" si="44"/>
        <v>26277.6932</v>
      </c>
      <c r="G247" s="252">
        <f t="shared" si="44"/>
        <v>32847.116500000004</v>
      </c>
      <c r="H247" s="252">
        <f t="shared" si="44"/>
        <v>39416.5398</v>
      </c>
      <c r="I247" s="252">
        <f t="shared" si="44"/>
        <v>45985.9631</v>
      </c>
      <c r="J247" s="252">
        <f t="shared" si="44"/>
        <v>52555.3864</v>
      </c>
      <c r="K247" s="252">
        <f t="shared" si="44"/>
        <v>59124.809700000005</v>
      </c>
      <c r="L247" s="252">
        <f t="shared" si="44"/>
        <v>65694.23300000001</v>
      </c>
      <c r="M247" s="252">
        <f t="shared" si="44"/>
        <v>72263.6563</v>
      </c>
      <c r="N247" s="252">
        <f>+Q247</f>
        <v>78833.08</v>
      </c>
      <c r="O247" s="153"/>
      <c r="P247" s="191">
        <v>58232.65</v>
      </c>
      <c r="Q247" s="191">
        <f>+ROUND(P247*$C$270/100+P247,2)</f>
        <v>78833.08</v>
      </c>
      <c r="R247" s="153"/>
    </row>
    <row r="248" spans="1:18" ht="15">
      <c r="A248" s="338" t="s">
        <v>160</v>
      </c>
      <c r="B248" s="339"/>
      <c r="C248" s="252">
        <f>ROUND(+C247*2,2)</f>
        <v>13138.85</v>
      </c>
      <c r="D248" s="252">
        <f aca="true" t="shared" si="45" ref="D248:N248">ROUND(+D247*2,2)</f>
        <v>26277.69</v>
      </c>
      <c r="E248" s="252">
        <f t="shared" si="45"/>
        <v>39416.54</v>
      </c>
      <c r="F248" s="252">
        <f t="shared" si="45"/>
        <v>52555.39</v>
      </c>
      <c r="G248" s="252">
        <f t="shared" si="45"/>
        <v>65694.23</v>
      </c>
      <c r="H248" s="252">
        <f t="shared" si="45"/>
        <v>78833.08</v>
      </c>
      <c r="I248" s="252">
        <f t="shared" si="45"/>
        <v>91971.93</v>
      </c>
      <c r="J248" s="252">
        <f t="shared" si="45"/>
        <v>105110.77</v>
      </c>
      <c r="K248" s="252">
        <f t="shared" si="45"/>
        <v>118249.62</v>
      </c>
      <c r="L248" s="252">
        <f t="shared" si="45"/>
        <v>131388.47</v>
      </c>
      <c r="M248" s="252">
        <f t="shared" si="45"/>
        <v>144527.31</v>
      </c>
      <c r="N248" s="252">
        <f t="shared" si="45"/>
        <v>157666.16</v>
      </c>
      <c r="O248" s="153"/>
      <c r="P248" s="191"/>
      <c r="Q248" s="191"/>
      <c r="R248" s="153"/>
    </row>
    <row r="249" spans="1:18" ht="15">
      <c r="A249" s="338" t="s">
        <v>38</v>
      </c>
      <c r="B249" s="339"/>
      <c r="C249" s="252">
        <f t="shared" si="44"/>
        <v>67071.36</v>
      </c>
      <c r="D249" s="252">
        <f t="shared" si="44"/>
        <v>134142.72</v>
      </c>
      <c r="E249" s="252">
        <f t="shared" si="44"/>
        <v>201214.08000000002</v>
      </c>
      <c r="F249" s="252">
        <f t="shared" si="44"/>
        <v>268285.44</v>
      </c>
      <c r="G249" s="252">
        <f t="shared" si="44"/>
        <v>335356.8</v>
      </c>
      <c r="H249" s="252">
        <f t="shared" si="44"/>
        <v>402428.16000000003</v>
      </c>
      <c r="I249" s="252">
        <f t="shared" si="44"/>
        <v>469499.52</v>
      </c>
      <c r="J249" s="252">
        <f t="shared" si="44"/>
        <v>536570.88</v>
      </c>
      <c r="K249" s="252">
        <f t="shared" si="44"/>
        <v>603642.24</v>
      </c>
      <c r="L249" s="252">
        <f t="shared" si="44"/>
        <v>670713.6</v>
      </c>
      <c r="M249" s="252">
        <f t="shared" si="44"/>
        <v>737784.96</v>
      </c>
      <c r="N249" s="252">
        <f>+N245*4.8</f>
        <v>804856.32</v>
      </c>
      <c r="O249" s="153"/>
      <c r="P249" s="191">
        <v>594533.6159999999</v>
      </c>
      <c r="Q249" s="191">
        <f>+ROUND(P249*$C$270/100+P249,2)</f>
        <v>804856.34</v>
      </c>
      <c r="R249" s="153"/>
    </row>
    <row r="250" spans="1:18" ht="15">
      <c r="A250" s="338" t="s">
        <v>39</v>
      </c>
      <c r="B250" s="339"/>
      <c r="C250" s="252">
        <f t="shared" si="44"/>
        <v>13973.2</v>
      </c>
      <c r="D250" s="252">
        <f t="shared" si="44"/>
        <v>27946.4</v>
      </c>
      <c r="E250" s="252">
        <f t="shared" si="44"/>
        <v>41919.600000000006</v>
      </c>
      <c r="F250" s="252">
        <f t="shared" si="44"/>
        <v>55892.8</v>
      </c>
      <c r="G250" s="252">
        <f t="shared" si="44"/>
        <v>69866</v>
      </c>
      <c r="H250" s="252">
        <f t="shared" si="44"/>
        <v>83839.20000000001</v>
      </c>
      <c r="I250" s="252">
        <f t="shared" si="44"/>
        <v>97812.40000000001</v>
      </c>
      <c r="J250" s="252">
        <f t="shared" si="44"/>
        <v>111785.6</v>
      </c>
      <c r="K250" s="252">
        <f t="shared" si="44"/>
        <v>125758.8</v>
      </c>
      <c r="L250" s="252">
        <f t="shared" si="44"/>
        <v>139732</v>
      </c>
      <c r="M250" s="252">
        <f t="shared" si="44"/>
        <v>153705.2</v>
      </c>
      <c r="N250" s="252">
        <f>+N245</f>
        <v>167678.4</v>
      </c>
      <c r="O250" s="153"/>
      <c r="P250" s="191">
        <v>123861.17</v>
      </c>
      <c r="Q250" s="191">
        <f>+ROUND(P250*$C$270/100+P250,2)</f>
        <v>167678.4</v>
      </c>
      <c r="R250" s="153"/>
    </row>
    <row r="251" spans="1:18" ht="15">
      <c r="A251" s="338" t="s">
        <v>40</v>
      </c>
      <c r="B251" s="339"/>
      <c r="C251" s="252">
        <v>0</v>
      </c>
      <c r="D251" s="252">
        <v>0</v>
      </c>
      <c r="E251" s="252">
        <v>0</v>
      </c>
      <c r="F251" s="252">
        <v>0</v>
      </c>
      <c r="G251" s="252">
        <v>0</v>
      </c>
      <c r="H251" s="252">
        <v>0</v>
      </c>
      <c r="I251" s="252">
        <v>0</v>
      </c>
      <c r="J251" s="252">
        <v>0</v>
      </c>
      <c r="K251" s="252">
        <v>0</v>
      </c>
      <c r="L251" s="252">
        <v>0</v>
      </c>
      <c r="M251" s="252">
        <v>0</v>
      </c>
      <c r="N251" s="252">
        <v>24000</v>
      </c>
      <c r="O251" s="153"/>
      <c r="P251" s="191"/>
      <c r="Q251" s="191"/>
      <c r="R251" s="153"/>
    </row>
    <row r="252" spans="1:18" ht="15">
      <c r="A252" s="338" t="s">
        <v>41</v>
      </c>
      <c r="B252" s="339"/>
      <c r="C252" s="252">
        <f aca="true" t="shared" si="46" ref="C252:M254">+ROUND($N252/12,4)*C$243</f>
        <v>83.0192</v>
      </c>
      <c r="D252" s="252">
        <f t="shared" si="46"/>
        <v>166.0384</v>
      </c>
      <c r="E252" s="252">
        <f t="shared" si="46"/>
        <v>249.05759999999998</v>
      </c>
      <c r="F252" s="252">
        <f t="shared" si="46"/>
        <v>332.0768</v>
      </c>
      <c r="G252" s="252">
        <f t="shared" si="46"/>
        <v>415.096</v>
      </c>
      <c r="H252" s="252">
        <f t="shared" si="46"/>
        <v>498.11519999999996</v>
      </c>
      <c r="I252" s="252">
        <f t="shared" si="46"/>
        <v>581.1344</v>
      </c>
      <c r="J252" s="252">
        <f t="shared" si="46"/>
        <v>664.1536</v>
      </c>
      <c r="K252" s="252">
        <f t="shared" si="46"/>
        <v>747.1727999999999</v>
      </c>
      <c r="L252" s="252">
        <f t="shared" si="46"/>
        <v>830.192</v>
      </c>
      <c r="M252" s="252">
        <f t="shared" si="46"/>
        <v>913.2112</v>
      </c>
      <c r="N252" s="252">
        <v>996.23</v>
      </c>
      <c r="O252" s="153"/>
      <c r="P252" s="191"/>
      <c r="Q252" s="191"/>
      <c r="R252" s="153"/>
    </row>
    <row r="253" spans="1:18" ht="15">
      <c r="A253" s="338" t="s">
        <v>42</v>
      </c>
      <c r="B253" s="339"/>
      <c r="C253" s="252">
        <f t="shared" si="46"/>
        <v>1666.6667</v>
      </c>
      <c r="D253" s="252">
        <f t="shared" si="46"/>
        <v>3333.3334</v>
      </c>
      <c r="E253" s="252">
        <f t="shared" si="46"/>
        <v>5000.0001</v>
      </c>
      <c r="F253" s="252">
        <f t="shared" si="46"/>
        <v>6666.6668</v>
      </c>
      <c r="G253" s="252">
        <f t="shared" si="46"/>
        <v>8333.3335</v>
      </c>
      <c r="H253" s="252">
        <f t="shared" si="46"/>
        <v>10000.0002</v>
      </c>
      <c r="I253" s="252">
        <f t="shared" si="46"/>
        <v>11666.6669</v>
      </c>
      <c r="J253" s="252">
        <f t="shared" si="46"/>
        <v>13333.3336</v>
      </c>
      <c r="K253" s="252">
        <f t="shared" si="46"/>
        <v>15000.0003</v>
      </c>
      <c r="L253" s="252">
        <f t="shared" si="46"/>
        <v>16666.667</v>
      </c>
      <c r="M253" s="252">
        <f t="shared" si="46"/>
        <v>18333.3337</v>
      </c>
      <c r="N253" s="252">
        <v>20000</v>
      </c>
      <c r="O253" s="153"/>
      <c r="P253" s="191"/>
      <c r="Q253" s="191"/>
      <c r="R253" s="153"/>
    </row>
    <row r="254" spans="1:18" ht="15">
      <c r="A254" s="338" t="s">
        <v>43</v>
      </c>
      <c r="B254" s="339"/>
      <c r="C254" s="252">
        <f t="shared" si="46"/>
        <v>13973.2</v>
      </c>
      <c r="D254" s="252">
        <f t="shared" si="46"/>
        <v>27946.4</v>
      </c>
      <c r="E254" s="252">
        <f t="shared" si="46"/>
        <v>41919.600000000006</v>
      </c>
      <c r="F254" s="252">
        <f t="shared" si="46"/>
        <v>55892.8</v>
      </c>
      <c r="G254" s="252">
        <f t="shared" si="46"/>
        <v>69866</v>
      </c>
      <c r="H254" s="252">
        <f t="shared" si="46"/>
        <v>83839.20000000001</v>
      </c>
      <c r="I254" s="252">
        <f t="shared" si="46"/>
        <v>97812.40000000001</v>
      </c>
      <c r="J254" s="252">
        <f t="shared" si="46"/>
        <v>111785.6</v>
      </c>
      <c r="K254" s="252">
        <f t="shared" si="46"/>
        <v>125758.8</v>
      </c>
      <c r="L254" s="252">
        <f t="shared" si="46"/>
        <v>139732</v>
      </c>
      <c r="M254" s="252">
        <f t="shared" si="46"/>
        <v>153705.2</v>
      </c>
      <c r="N254" s="252">
        <f>+N245</f>
        <v>167678.4</v>
      </c>
      <c r="O254" s="153"/>
      <c r="P254" s="191">
        <v>123861.17</v>
      </c>
      <c r="Q254" s="191">
        <f>+ROUND(P254*$C$270/100+P254,2)</f>
        <v>167678.4</v>
      </c>
      <c r="R254" s="153"/>
    </row>
    <row r="255" spans="1:18" ht="15">
      <c r="A255" s="338" t="s">
        <v>44</v>
      </c>
      <c r="B255" s="339"/>
      <c r="C255" s="252" t="s">
        <v>45</v>
      </c>
      <c r="D255" s="252" t="s">
        <v>45</v>
      </c>
      <c r="E255" s="252" t="s">
        <v>45</v>
      </c>
      <c r="F255" s="252" t="s">
        <v>45</v>
      </c>
      <c r="G255" s="252" t="s">
        <v>45</v>
      </c>
      <c r="H255" s="252" t="s">
        <v>45</v>
      </c>
      <c r="I255" s="252" t="s">
        <v>45</v>
      </c>
      <c r="J255" s="252" t="s">
        <v>45</v>
      </c>
      <c r="K255" s="252" t="s">
        <v>45</v>
      </c>
      <c r="L255" s="252" t="s">
        <v>45</v>
      </c>
      <c r="M255" s="252" t="s">
        <v>45</v>
      </c>
      <c r="N255" s="252" t="s">
        <v>45</v>
      </c>
      <c r="O255" s="153"/>
      <c r="P255" s="153"/>
      <c r="Q255" s="153"/>
      <c r="R255" s="153"/>
    </row>
    <row r="256" spans="1:18" ht="15">
      <c r="A256" s="338" t="s">
        <v>46</v>
      </c>
      <c r="B256" s="339"/>
      <c r="C256" s="252">
        <f aca="true" t="shared" si="47" ref="C256:M256">+ROUND($N256/12,4)*C$243</f>
        <v>5589.28</v>
      </c>
      <c r="D256" s="252">
        <f t="shared" si="47"/>
        <v>11178.56</v>
      </c>
      <c r="E256" s="252">
        <f t="shared" si="47"/>
        <v>16767.84</v>
      </c>
      <c r="F256" s="252">
        <f t="shared" si="47"/>
        <v>22357.12</v>
      </c>
      <c r="G256" s="252">
        <f t="shared" si="47"/>
        <v>27946.399999999998</v>
      </c>
      <c r="H256" s="252">
        <f t="shared" si="47"/>
        <v>33535.68</v>
      </c>
      <c r="I256" s="252">
        <f t="shared" si="47"/>
        <v>39124.96</v>
      </c>
      <c r="J256" s="252">
        <f t="shared" si="47"/>
        <v>44714.24</v>
      </c>
      <c r="K256" s="252">
        <f t="shared" si="47"/>
        <v>50303.52</v>
      </c>
      <c r="L256" s="252">
        <f t="shared" si="47"/>
        <v>55892.799999999996</v>
      </c>
      <c r="M256" s="252">
        <f t="shared" si="47"/>
        <v>61482.079999999994</v>
      </c>
      <c r="N256" s="252">
        <f>+N254*0.4</f>
        <v>67071.36</v>
      </c>
      <c r="O256" s="153"/>
      <c r="P256" s="191">
        <v>49544.468</v>
      </c>
      <c r="Q256" s="191">
        <f>+ROUND(P256*$C$270/100+P256,2)</f>
        <v>67071.36</v>
      </c>
      <c r="R256" s="153"/>
    </row>
    <row r="257" spans="1:18" ht="15">
      <c r="A257" s="338" t="s">
        <v>47</v>
      </c>
      <c r="B257" s="339"/>
      <c r="C257" s="252" t="s">
        <v>45</v>
      </c>
      <c r="D257" s="252" t="s">
        <v>45</v>
      </c>
      <c r="E257" s="252" t="s">
        <v>45</v>
      </c>
      <c r="F257" s="252" t="s">
        <v>45</v>
      </c>
      <c r="G257" s="252" t="s">
        <v>45</v>
      </c>
      <c r="H257" s="252" t="s">
        <v>45</v>
      </c>
      <c r="I257" s="252" t="s">
        <v>45</v>
      </c>
      <c r="J257" s="252" t="s">
        <v>45</v>
      </c>
      <c r="K257" s="252" t="s">
        <v>45</v>
      </c>
      <c r="L257" s="252" t="s">
        <v>45</v>
      </c>
      <c r="M257" s="252" t="s">
        <v>45</v>
      </c>
      <c r="N257" s="252" t="s">
        <v>45</v>
      </c>
      <c r="O257" s="153"/>
      <c r="P257" s="153"/>
      <c r="Q257" s="153"/>
      <c r="R257" s="153"/>
    </row>
    <row r="258" spans="1:18" ht="15">
      <c r="A258" s="338" t="s">
        <v>48</v>
      </c>
      <c r="B258" s="339"/>
      <c r="C258" s="252" t="s">
        <v>49</v>
      </c>
      <c r="D258" s="252" t="s">
        <v>49</v>
      </c>
      <c r="E258" s="252" t="s">
        <v>49</v>
      </c>
      <c r="F258" s="252" t="s">
        <v>49</v>
      </c>
      <c r="G258" s="252" t="s">
        <v>49</v>
      </c>
      <c r="H258" s="252" t="s">
        <v>49</v>
      </c>
      <c r="I258" s="252" t="s">
        <v>49</v>
      </c>
      <c r="J258" s="252" t="s">
        <v>49</v>
      </c>
      <c r="K258" s="252" t="s">
        <v>49</v>
      </c>
      <c r="L258" s="252" t="s">
        <v>49</v>
      </c>
      <c r="M258" s="252" t="s">
        <v>49</v>
      </c>
      <c r="N258" s="252" t="s">
        <v>49</v>
      </c>
      <c r="O258" s="153"/>
      <c r="P258" s="153"/>
      <c r="Q258" s="153"/>
      <c r="R258" s="153"/>
    </row>
    <row r="259" spans="1:18" ht="15">
      <c r="A259" s="338" t="s">
        <v>50</v>
      </c>
      <c r="B259" s="339"/>
      <c r="C259" s="252" t="s">
        <v>49</v>
      </c>
      <c r="D259" s="252" t="s">
        <v>49</v>
      </c>
      <c r="E259" s="252" t="s">
        <v>49</v>
      </c>
      <c r="F259" s="252" t="s">
        <v>49</v>
      </c>
      <c r="G259" s="252" t="s">
        <v>49</v>
      </c>
      <c r="H259" s="252" t="s">
        <v>49</v>
      </c>
      <c r="I259" s="252" t="s">
        <v>49</v>
      </c>
      <c r="J259" s="252" t="s">
        <v>49</v>
      </c>
      <c r="K259" s="252" t="s">
        <v>49</v>
      </c>
      <c r="L259" s="252" t="s">
        <v>49</v>
      </c>
      <c r="M259" s="252" t="s">
        <v>49</v>
      </c>
      <c r="N259" s="252" t="s">
        <v>49</v>
      </c>
      <c r="O259" s="153"/>
      <c r="P259" s="153"/>
      <c r="Q259" s="153"/>
      <c r="R259" s="153"/>
    </row>
    <row r="260" spans="1:18" ht="15.75" thickBot="1">
      <c r="A260" s="379" t="s">
        <v>51</v>
      </c>
      <c r="B260" s="380"/>
      <c r="C260" s="253" t="s">
        <v>49</v>
      </c>
      <c r="D260" s="253" t="s">
        <v>49</v>
      </c>
      <c r="E260" s="253" t="s">
        <v>49</v>
      </c>
      <c r="F260" s="253" t="s">
        <v>49</v>
      </c>
      <c r="G260" s="253" t="s">
        <v>49</v>
      </c>
      <c r="H260" s="253" t="s">
        <v>49</v>
      </c>
      <c r="I260" s="253" t="s">
        <v>49</v>
      </c>
      <c r="J260" s="253" t="s">
        <v>49</v>
      </c>
      <c r="K260" s="253" t="s">
        <v>49</v>
      </c>
      <c r="L260" s="253" t="s">
        <v>49</v>
      </c>
      <c r="M260" s="253" t="s">
        <v>49</v>
      </c>
      <c r="N260" s="253" t="s">
        <v>49</v>
      </c>
      <c r="O260" s="153"/>
      <c r="P260" s="153"/>
      <c r="Q260" s="153"/>
      <c r="R260" s="153"/>
    </row>
    <row r="261" spans="1:18" ht="12">
      <c r="A261" s="153"/>
      <c r="B261" s="153"/>
      <c r="C261" s="153"/>
      <c r="D261" s="153"/>
      <c r="E261" s="153"/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  <c r="Q261" s="153"/>
      <c r="R261" s="153"/>
    </row>
    <row r="262" spans="1:18" ht="12">
      <c r="A262" s="153"/>
      <c r="B262" s="153"/>
      <c r="C262" s="153"/>
      <c r="D262" s="153"/>
      <c r="E262" s="153"/>
      <c r="F262" s="153"/>
      <c r="G262" s="153"/>
      <c r="H262" s="153"/>
      <c r="I262" s="153"/>
      <c r="J262" s="153"/>
      <c r="K262" s="153"/>
      <c r="L262" s="153"/>
      <c r="M262" s="153"/>
      <c r="N262" s="153"/>
      <c r="O262" s="153"/>
      <c r="P262" s="153"/>
      <c r="Q262" s="153"/>
      <c r="R262" s="153"/>
    </row>
    <row r="263" spans="1:18" ht="12.75" thickBot="1">
      <c r="A263" s="153"/>
      <c r="B263" s="153"/>
      <c r="C263" s="153"/>
      <c r="D263" s="153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  <c r="P263" s="153"/>
      <c r="Q263" s="153"/>
      <c r="R263" s="153"/>
    </row>
    <row r="264" spans="1:18" ht="15">
      <c r="A264" s="299" t="s">
        <v>148</v>
      </c>
      <c r="B264" s="337"/>
      <c r="C264" s="300"/>
      <c r="D264" s="153"/>
      <c r="E264" s="262" t="s">
        <v>154</v>
      </c>
      <c r="F264" s="263"/>
      <c r="G264" s="263"/>
      <c r="H264" s="263"/>
      <c r="I264" s="264"/>
      <c r="J264" s="153"/>
      <c r="K264" s="153"/>
      <c r="L264" s="153"/>
      <c r="M264" s="153"/>
      <c r="N264" s="153"/>
      <c r="O264" s="153"/>
      <c r="P264" s="153"/>
      <c r="Q264" s="153"/>
      <c r="R264" s="153"/>
    </row>
    <row r="265" spans="1:18" ht="12">
      <c r="A265" s="78" t="s">
        <v>149</v>
      </c>
      <c r="B265" s="78"/>
      <c r="C265" s="78" t="s">
        <v>150</v>
      </c>
      <c r="D265" s="153"/>
      <c r="E265" s="78" t="s">
        <v>52</v>
      </c>
      <c r="F265" s="79" t="s">
        <v>53</v>
      </c>
      <c r="G265" s="79" t="s">
        <v>54</v>
      </c>
      <c r="H265" s="79" t="s">
        <v>55</v>
      </c>
      <c r="I265" s="80" t="s">
        <v>56</v>
      </c>
      <c r="J265" s="153"/>
      <c r="K265" s="153"/>
      <c r="L265" s="153"/>
      <c r="M265" s="153"/>
      <c r="N265" s="153"/>
      <c r="O265" s="153"/>
      <c r="P265" s="153"/>
      <c r="Q265" s="153"/>
      <c r="R265" s="153"/>
    </row>
    <row r="266" spans="1:18" ht="15">
      <c r="A266" s="301" t="s">
        <v>151</v>
      </c>
      <c r="B266" s="302"/>
      <c r="C266" s="181">
        <f>+'2020'!E177</f>
        <v>47669.16</v>
      </c>
      <c r="D266" s="153"/>
      <c r="E266" s="181">
        <v>0</v>
      </c>
      <c r="F266" s="181">
        <f>+ROUND(C266*C270/100+C266,2)</f>
        <v>64532.64</v>
      </c>
      <c r="G266" s="181">
        <v>0</v>
      </c>
      <c r="H266" s="182">
        <v>5</v>
      </c>
      <c r="I266" s="181">
        <v>0</v>
      </c>
      <c r="J266" s="153"/>
      <c r="K266" s="153"/>
      <c r="L266" s="153"/>
      <c r="M266" s="153"/>
      <c r="N266" s="153"/>
      <c r="O266" s="153"/>
      <c r="P266" s="153"/>
      <c r="Q266" s="153"/>
      <c r="R266" s="153"/>
    </row>
    <row r="267" spans="1:18" ht="15">
      <c r="A267" s="307" t="s">
        <v>152</v>
      </c>
      <c r="B267" s="302"/>
      <c r="C267" s="95">
        <v>47834.32</v>
      </c>
      <c r="D267" s="153"/>
      <c r="E267" s="181">
        <f>+F266</f>
        <v>64532.64</v>
      </c>
      <c r="F267" s="181">
        <f>+E267+F266</f>
        <v>129065.28</v>
      </c>
      <c r="G267" s="181">
        <f>+ROUND(F266*H266/100,3)</f>
        <v>3226.632</v>
      </c>
      <c r="H267" s="182">
        <v>9</v>
      </c>
      <c r="I267" s="181">
        <f>+F266</f>
        <v>64532.64</v>
      </c>
      <c r="J267" s="153"/>
      <c r="K267" s="153"/>
      <c r="L267" s="153"/>
      <c r="M267" s="153"/>
      <c r="N267" s="153"/>
      <c r="O267" s="153"/>
      <c r="P267" s="153"/>
      <c r="Q267" s="153"/>
      <c r="R267" s="153"/>
    </row>
    <row r="268" spans="1:18" ht="15">
      <c r="A268" s="307" t="s">
        <v>153</v>
      </c>
      <c r="B268" s="302"/>
      <c r="C268" s="95">
        <v>64756.23</v>
      </c>
      <c r="D268" s="153"/>
      <c r="E268" s="181">
        <f aca="true" t="shared" si="48" ref="E268:E274">+F267</f>
        <v>129065.28</v>
      </c>
      <c r="F268" s="181">
        <f>+E268+F266</f>
        <v>193597.91999999998</v>
      </c>
      <c r="G268" s="181">
        <f>+ROUND(F266*H267/100,3)+G267</f>
        <v>9034.57</v>
      </c>
      <c r="H268" s="182">
        <v>12</v>
      </c>
      <c r="I268" s="181">
        <f aca="true" t="shared" si="49" ref="I268:I274">+F267</f>
        <v>129065.28</v>
      </c>
      <c r="J268" s="153"/>
      <c r="K268" s="153"/>
      <c r="L268" s="153"/>
      <c r="M268" s="153"/>
      <c r="N268" s="153"/>
      <c r="O268" s="153"/>
      <c r="P268" s="153"/>
      <c r="Q268" s="153"/>
      <c r="R268" s="153"/>
    </row>
    <row r="269" spans="1:18" ht="15">
      <c r="A269" s="153"/>
      <c r="B269" s="153"/>
      <c r="C269" s="153"/>
      <c r="D269" s="153"/>
      <c r="E269" s="181">
        <f t="shared" si="48"/>
        <v>193597.91999999998</v>
      </c>
      <c r="F269" s="181">
        <f>+E269+F266</f>
        <v>258130.56</v>
      </c>
      <c r="G269" s="181">
        <f>+ROUND(F266*H268/100,3)+G268</f>
        <v>16778.487</v>
      </c>
      <c r="H269" s="182">
        <v>15</v>
      </c>
      <c r="I269" s="181">
        <f t="shared" si="49"/>
        <v>193597.91999999998</v>
      </c>
      <c r="J269" s="153"/>
      <c r="K269" s="153"/>
      <c r="L269" s="153"/>
      <c r="M269" s="153"/>
      <c r="N269" s="153"/>
      <c r="O269" s="153"/>
      <c r="P269" s="153"/>
      <c r="Q269" s="153"/>
      <c r="R269" s="153"/>
    </row>
    <row r="270" spans="1:18" ht="15">
      <c r="A270" s="301" t="s">
        <v>147</v>
      </c>
      <c r="B270" s="302"/>
      <c r="C270" s="183">
        <f>+ROUND(((C268-C267)/C267)*100,37)</f>
        <v>35.376085622206</v>
      </c>
      <c r="D270" s="153"/>
      <c r="E270" s="181">
        <f t="shared" si="48"/>
        <v>258130.56</v>
      </c>
      <c r="F270" s="181">
        <f>+E270+F267</f>
        <v>387195.83999999997</v>
      </c>
      <c r="G270" s="181">
        <f>+ROUND(F266*H269/100,3)+G269</f>
        <v>26458.383</v>
      </c>
      <c r="H270" s="182">
        <v>19</v>
      </c>
      <c r="I270" s="181">
        <f t="shared" si="49"/>
        <v>258130.56</v>
      </c>
      <c r="J270" s="153"/>
      <c r="K270" s="153"/>
      <c r="L270" s="153"/>
      <c r="M270" s="153"/>
      <c r="N270" s="153"/>
      <c r="O270" s="153"/>
      <c r="P270" s="153"/>
      <c r="Q270" s="153"/>
      <c r="R270" s="153"/>
    </row>
    <row r="271" spans="1:18" ht="15">
      <c r="A271" s="153"/>
      <c r="B271" s="153"/>
      <c r="C271" s="153"/>
      <c r="D271" s="153"/>
      <c r="E271" s="181">
        <f t="shared" si="48"/>
        <v>387195.83999999997</v>
      </c>
      <c r="F271" s="181">
        <f>+E271+F267</f>
        <v>516261.12</v>
      </c>
      <c r="G271" s="181">
        <f>+ROUND(F267*H270/100,3)+G270</f>
        <v>50980.786</v>
      </c>
      <c r="H271" s="182">
        <v>23</v>
      </c>
      <c r="I271" s="181">
        <f t="shared" si="49"/>
        <v>387195.83999999997</v>
      </c>
      <c r="J271" s="153"/>
      <c r="K271" s="153"/>
      <c r="L271" s="153"/>
      <c r="M271" s="153"/>
      <c r="N271" s="153"/>
      <c r="O271" s="153"/>
      <c r="P271" s="153"/>
      <c r="Q271" s="153"/>
      <c r="R271" s="153"/>
    </row>
    <row r="272" spans="1:18" ht="15">
      <c r="A272" s="153"/>
      <c r="B272" s="153"/>
      <c r="C272" s="153"/>
      <c r="D272" s="153"/>
      <c r="E272" s="181">
        <f t="shared" si="48"/>
        <v>516261.12</v>
      </c>
      <c r="F272" s="181">
        <f>+E272+F269</f>
        <v>774391.6799999999</v>
      </c>
      <c r="G272" s="181">
        <f>+ROUND(F267*H271/100,3)+G271</f>
        <v>80665.8</v>
      </c>
      <c r="H272" s="182">
        <v>27</v>
      </c>
      <c r="I272" s="181">
        <f t="shared" si="49"/>
        <v>516261.12</v>
      </c>
      <c r="J272" s="153"/>
      <c r="K272" s="153"/>
      <c r="L272" s="153"/>
      <c r="M272" s="153"/>
      <c r="N272" s="153"/>
      <c r="O272" s="153"/>
      <c r="P272" s="153"/>
      <c r="Q272" s="153"/>
      <c r="R272" s="153"/>
    </row>
    <row r="273" spans="1:18" ht="15">
      <c r="A273" s="153"/>
      <c r="B273" s="153"/>
      <c r="C273" s="153"/>
      <c r="D273" s="153"/>
      <c r="E273" s="181">
        <f t="shared" si="48"/>
        <v>774391.6799999999</v>
      </c>
      <c r="F273" s="181">
        <f>+E273+F269</f>
        <v>1032522.24</v>
      </c>
      <c r="G273" s="181">
        <f>+ROUND(F269*H272/100,3)+G272</f>
        <v>150361.051</v>
      </c>
      <c r="H273" s="182">
        <v>31</v>
      </c>
      <c r="I273" s="181">
        <f t="shared" si="49"/>
        <v>774391.6799999999</v>
      </c>
      <c r="J273" s="153"/>
      <c r="K273" s="153"/>
      <c r="L273" s="153"/>
      <c r="M273" s="153"/>
      <c r="N273" s="153"/>
      <c r="O273" s="153"/>
      <c r="P273" s="153"/>
      <c r="Q273" s="153"/>
      <c r="R273" s="153"/>
    </row>
    <row r="274" spans="1:18" ht="15">
      <c r="A274" s="153"/>
      <c r="B274" s="153"/>
      <c r="C274" s="153"/>
      <c r="D274" s="153"/>
      <c r="E274" s="181">
        <f t="shared" si="48"/>
        <v>1032522.24</v>
      </c>
      <c r="F274" s="181">
        <v>999999999</v>
      </c>
      <c r="G274" s="181">
        <f>+ROUND(F269*H273/100,2)+G273</f>
        <v>230381.521</v>
      </c>
      <c r="H274" s="182">
        <v>35</v>
      </c>
      <c r="I274" s="181">
        <f t="shared" si="49"/>
        <v>1032522.24</v>
      </c>
      <c r="J274" s="153"/>
      <c r="K274" s="153"/>
      <c r="L274" s="153"/>
      <c r="M274" s="153"/>
      <c r="N274" s="153"/>
      <c r="O274" s="153"/>
      <c r="P274" s="153"/>
      <c r="Q274" s="153"/>
      <c r="R274" s="153"/>
    </row>
    <row r="275" spans="1:18" ht="12">
      <c r="A275" s="153"/>
      <c r="B275" s="153"/>
      <c r="C275" s="153"/>
      <c r="D275" s="153"/>
      <c r="E275" s="153"/>
      <c r="F275" s="153"/>
      <c r="G275" s="153"/>
      <c r="H275" s="153"/>
      <c r="I275" s="153"/>
      <c r="J275" s="153"/>
      <c r="K275" s="153"/>
      <c r="L275" s="153"/>
      <c r="M275" s="153"/>
      <c r="N275" s="153"/>
      <c r="O275" s="153"/>
      <c r="P275" s="153"/>
      <c r="Q275" s="153"/>
      <c r="R275" s="153"/>
    </row>
    <row r="276" spans="1:18" ht="12.75" thickBot="1">
      <c r="A276" s="153"/>
      <c r="B276" s="153"/>
      <c r="C276" s="153"/>
      <c r="D276" s="153"/>
      <c r="E276" s="153"/>
      <c r="F276" s="153"/>
      <c r="G276" s="153"/>
      <c r="H276" s="153"/>
      <c r="I276" s="153"/>
      <c r="J276" s="153"/>
      <c r="K276" s="153"/>
      <c r="L276" s="153"/>
      <c r="M276" s="153"/>
      <c r="N276" s="153"/>
      <c r="O276" s="153"/>
      <c r="P276" s="153"/>
      <c r="Q276" s="153"/>
      <c r="R276" s="153"/>
    </row>
    <row r="277" spans="1:18" ht="12">
      <c r="A277" s="83" t="s">
        <v>87</v>
      </c>
      <c r="B277" s="84"/>
      <c r="C277" s="84">
        <v>12</v>
      </c>
      <c r="D277" s="84">
        <v>11</v>
      </c>
      <c r="E277" s="84">
        <v>10</v>
      </c>
      <c r="F277" s="84">
        <v>9</v>
      </c>
      <c r="G277" s="84">
        <v>8</v>
      </c>
      <c r="H277" s="84">
        <v>7</v>
      </c>
      <c r="I277" s="84">
        <v>6</v>
      </c>
      <c r="J277" s="84">
        <v>5</v>
      </c>
      <c r="K277" s="84">
        <v>4</v>
      </c>
      <c r="L277" s="84">
        <v>3</v>
      </c>
      <c r="M277" s="84">
        <v>2</v>
      </c>
      <c r="N277" s="84">
        <v>1</v>
      </c>
      <c r="O277" s="85"/>
      <c r="P277" s="153"/>
      <c r="Q277" s="153"/>
      <c r="R277" s="153"/>
    </row>
    <row r="278" spans="1:18" ht="12.75" thickBot="1">
      <c r="A278" s="86"/>
      <c r="B278" s="87"/>
      <c r="C278" s="87">
        <f>12-C277</f>
        <v>0</v>
      </c>
      <c r="D278" s="87">
        <f aca="true" t="shared" si="50" ref="D278:N278">12-D277</f>
        <v>1</v>
      </c>
      <c r="E278" s="87">
        <f t="shared" si="50"/>
        <v>2</v>
      </c>
      <c r="F278" s="87">
        <f t="shared" si="50"/>
        <v>3</v>
      </c>
      <c r="G278" s="87">
        <f t="shared" si="50"/>
        <v>4</v>
      </c>
      <c r="H278" s="87">
        <f t="shared" si="50"/>
        <v>5</v>
      </c>
      <c r="I278" s="87">
        <f t="shared" si="50"/>
        <v>6</v>
      </c>
      <c r="J278" s="87">
        <f t="shared" si="50"/>
        <v>7</v>
      </c>
      <c r="K278" s="87">
        <f t="shared" si="50"/>
        <v>8</v>
      </c>
      <c r="L278" s="87">
        <f t="shared" si="50"/>
        <v>9</v>
      </c>
      <c r="M278" s="87">
        <f t="shared" si="50"/>
        <v>10</v>
      </c>
      <c r="N278" s="87">
        <f t="shared" si="50"/>
        <v>11</v>
      </c>
      <c r="O278" s="88"/>
      <c r="P278" s="153"/>
      <c r="Q278" s="153"/>
      <c r="R278" s="153"/>
    </row>
    <row r="279" spans="1:18" ht="12">
      <c r="A279" s="74" t="s">
        <v>95</v>
      </c>
      <c r="B279" s="74"/>
      <c r="C279" s="74" t="str">
        <f aca="true" t="shared" si="51" ref="C279:N279">+C5</f>
        <v>Enero</v>
      </c>
      <c r="D279" s="74" t="str">
        <f t="shared" si="51"/>
        <v>Febrero</v>
      </c>
      <c r="E279" s="74" t="str">
        <f t="shared" si="51"/>
        <v>Marzo</v>
      </c>
      <c r="F279" s="74" t="str">
        <f t="shared" si="51"/>
        <v>Abril</v>
      </c>
      <c r="G279" s="74" t="str">
        <f t="shared" si="51"/>
        <v>Mayo</v>
      </c>
      <c r="H279" s="74" t="str">
        <f t="shared" si="51"/>
        <v>Junio</v>
      </c>
      <c r="I279" s="74" t="str">
        <f t="shared" si="51"/>
        <v>Julio</v>
      </c>
      <c r="J279" s="74" t="str">
        <f t="shared" si="51"/>
        <v>Agosto</v>
      </c>
      <c r="K279" s="74" t="str">
        <f t="shared" si="51"/>
        <v>Septiembre</v>
      </c>
      <c r="L279" s="74" t="str">
        <f t="shared" si="51"/>
        <v>Octubre</v>
      </c>
      <c r="M279" s="74" t="str">
        <f t="shared" si="51"/>
        <v>Noviembre</v>
      </c>
      <c r="N279" s="74" t="str">
        <f t="shared" si="51"/>
        <v>SAC</v>
      </c>
      <c r="O279" s="74" t="s">
        <v>61</v>
      </c>
      <c r="P279" s="153"/>
      <c r="Q279" s="153"/>
      <c r="R279" s="153"/>
    </row>
    <row r="280" spans="1:18" ht="12">
      <c r="A280" s="192" t="s">
        <v>23</v>
      </c>
      <c r="B280" s="192"/>
      <c r="C280" s="192">
        <f>+ROUND(IF($F$1&gt;C$278,(C14)/C$277*($F$1-C$278),0),2)</f>
        <v>0</v>
      </c>
      <c r="D280" s="192">
        <f>+ROUND(IF($F$1&gt;D$278,(D14)/D$277*($F$1-D$278),0),2)</f>
        <v>0</v>
      </c>
      <c r="E280" s="192">
        <f>+ROUND(IF($F$1&gt;E$278,(E14)/E$277*($F$1-E$278),0),2)</f>
        <v>0</v>
      </c>
      <c r="F280" s="192">
        <f>+ROUND(IF($F$1&gt;F$278,(F14)/F$277*($F$1-F$278),0),2)</f>
        <v>0</v>
      </c>
      <c r="G280" s="192">
        <f>+ROUND(IF($F$1&gt;G$278,(G14)/G$277*($F$1-G$278),0),2)</f>
        <v>0</v>
      </c>
      <c r="H280" s="192">
        <f>+ROUND(IF($F$1&gt;H$278,(H14)/H$277*($F$1-H$278),0),2)</f>
        <v>0</v>
      </c>
      <c r="I280" s="192">
        <f>+ROUND(IF($F$1&gt;I$278,(I14)/I$277*($F$1-I$278),0),2)</f>
        <v>0</v>
      </c>
      <c r="J280" s="192">
        <f>+ROUND(IF($F$1&gt;J$278,(J14)/J$277*($F$1-J$278),0),2)</f>
        <v>0</v>
      </c>
      <c r="K280" s="192">
        <f>+ROUND(IF($F$1&gt;K$278,(K14)/K$277*($F$1-K$278),0),2)</f>
        <v>0</v>
      </c>
      <c r="L280" s="192">
        <f>+ROUND(IF($F$1&gt;L$278,(L14)/L$277*($F$1-L$278),0),2)</f>
        <v>0</v>
      </c>
      <c r="M280" s="192">
        <f>+ROUND(IF($F$1&gt;M$278,(M14)/M$277*($F$1-M$278),0),2)</f>
        <v>0</v>
      </c>
      <c r="N280" s="192">
        <f>+ROUND(IF($F$1&gt;N$278,(N14)/N$277*($F$1-N$278),0),2)</f>
        <v>0</v>
      </c>
      <c r="O280" s="192">
        <f>+SUM(C280:N280)</f>
        <v>0</v>
      </c>
      <c r="P280" s="153"/>
      <c r="Q280" s="153"/>
      <c r="R280" s="153"/>
    </row>
    <row r="281" spans="1:18" ht="12.75" thickBot="1">
      <c r="A281" s="193" t="s">
        <v>24</v>
      </c>
      <c r="B281" s="193"/>
      <c r="C281" s="193">
        <f>+ROUND(IF($F$1&gt;C$278,C15/C$277*($F$1-C$278),0),2)</f>
        <v>0</v>
      </c>
      <c r="D281" s="193">
        <f>+ROUND(IF($F$1&gt;D$278,D15/D$277*($F$1-D$278),0),2)</f>
        <v>0</v>
      </c>
      <c r="E281" s="193">
        <f>+ROUND(IF($F$1&gt;E$278,E15/E$277*($F$1-E$278),0),2)</f>
        <v>0</v>
      </c>
      <c r="F281" s="193">
        <f>+ROUND(IF($F$1&gt;F$278,F15/F$277*($F$1-F$278),0),2)</f>
        <v>0</v>
      </c>
      <c r="G281" s="193">
        <f>+ROUND(IF($F$1&gt;G$278,G15/G$277*($F$1-G$278),0),2)</f>
        <v>0</v>
      </c>
      <c r="H281" s="193">
        <f>+ROUND(IF($F$1&gt;H$278,H15/H$277*($F$1-H$278),0),2)</f>
        <v>0</v>
      </c>
      <c r="I281" s="193">
        <f>+ROUND(IF($F$1&gt;I$278,I15/I$277*($F$1-I$278),0),2)</f>
        <v>0</v>
      </c>
      <c r="J281" s="193">
        <f>+ROUND(IF($F$1&gt;J$278,J15/J$277*($F$1-J$278),0),2)</f>
        <v>0</v>
      </c>
      <c r="K281" s="193">
        <f>+ROUND(IF($F$1&gt;K$278,K15/K$277*($F$1-K$278),0),2)</f>
        <v>0</v>
      </c>
      <c r="L281" s="193">
        <f>+ROUND(IF($F$1&gt;L$278,L15/L$277*($F$1-L$278),0),2)</f>
        <v>0</v>
      </c>
      <c r="M281" s="193">
        <f>+ROUND(IF($F$1&gt;M$278,M15/M$277*($F$1-M$278),0),2)</f>
        <v>0</v>
      </c>
      <c r="N281" s="193">
        <f>+ROUND(IF($F$1&gt;N$278,N15/N$277*($F$1-N$278),0),2)</f>
        <v>0</v>
      </c>
      <c r="O281" s="193">
        <f>+SUM(C281:N281)</f>
        <v>0</v>
      </c>
      <c r="P281" s="153"/>
      <c r="Q281" s="153"/>
      <c r="R281" s="153"/>
    </row>
    <row r="282" spans="1:18" ht="12">
      <c r="A282" s="153"/>
      <c r="B282" s="153"/>
      <c r="C282" s="153"/>
      <c r="D282" s="153"/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  <c r="Q282" s="153"/>
      <c r="R282" s="153"/>
    </row>
    <row r="283" spans="1:18" ht="12">
      <c r="A283" s="89"/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</row>
    <row r="284" spans="1:18" ht="12">
      <c r="A284" s="153"/>
      <c r="B284" s="153"/>
      <c r="C284" s="153"/>
      <c r="D284" s="153"/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  <c r="P284" s="153"/>
      <c r="Q284" s="153"/>
      <c r="R284" s="153"/>
    </row>
    <row r="285" spans="1:18" ht="12">
      <c r="A285" s="153"/>
      <c r="B285" s="153"/>
      <c r="C285" s="153"/>
      <c r="D285" s="153"/>
      <c r="E285" s="153"/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  <c r="P285" s="153"/>
      <c r="Q285" s="153"/>
      <c r="R285" s="153"/>
    </row>
    <row r="286" spans="1:18" ht="12">
      <c r="A286" s="153"/>
      <c r="B286" s="153"/>
      <c r="C286" s="153"/>
      <c r="D286" s="153"/>
      <c r="E286" s="153"/>
      <c r="F286" s="153"/>
      <c r="G286" s="153"/>
      <c r="H286" s="153"/>
      <c r="I286" s="153"/>
      <c r="J286" s="153"/>
      <c r="K286" s="153"/>
      <c r="L286" s="153"/>
      <c r="M286" s="153"/>
      <c r="N286" s="153"/>
      <c r="O286" s="153"/>
      <c r="P286" s="153"/>
      <c r="Q286" s="153"/>
      <c r="R286" s="153"/>
    </row>
    <row r="287" spans="1:18" ht="12">
      <c r="A287" s="153"/>
      <c r="B287" s="153"/>
      <c r="C287" s="153"/>
      <c r="D287" s="153"/>
      <c r="E287" s="153"/>
      <c r="F287" s="153"/>
      <c r="G287" s="153"/>
      <c r="H287" s="153"/>
      <c r="I287" s="153"/>
      <c r="J287" s="153"/>
      <c r="K287" s="153"/>
      <c r="L287" s="153"/>
      <c r="M287" s="153"/>
      <c r="N287" s="153"/>
      <c r="O287" s="153"/>
      <c r="P287" s="153"/>
      <c r="Q287" s="153"/>
      <c r="R287" s="153"/>
    </row>
    <row r="288" spans="1:18" ht="12">
      <c r="A288" s="153"/>
      <c r="B288" s="153"/>
      <c r="C288" s="153"/>
      <c r="D288" s="153"/>
      <c r="E288" s="153"/>
      <c r="F288" s="153"/>
      <c r="G288" s="153"/>
      <c r="H288" s="153"/>
      <c r="I288" s="153"/>
      <c r="J288" s="153"/>
      <c r="K288" s="153"/>
      <c r="L288" s="153"/>
      <c r="M288" s="153"/>
      <c r="N288" s="153"/>
      <c r="O288" s="153"/>
      <c r="P288" s="153"/>
      <c r="Q288" s="153"/>
      <c r="R288" s="153"/>
    </row>
    <row r="289" spans="1:18" ht="37.5" customHeight="1">
      <c r="A289" s="248" t="s">
        <v>166</v>
      </c>
      <c r="B289" s="249" t="s">
        <v>167</v>
      </c>
      <c r="C289" s="250" t="s">
        <v>168</v>
      </c>
      <c r="D289" s="153"/>
      <c r="E289" s="153"/>
      <c r="F289" s="153"/>
      <c r="G289" s="153"/>
      <c r="H289" s="153"/>
      <c r="I289" s="153"/>
      <c r="J289" s="153"/>
      <c r="K289" s="153"/>
      <c r="L289" s="153"/>
      <c r="M289" s="153"/>
      <c r="N289" s="153"/>
      <c r="O289" s="153"/>
      <c r="P289" s="153"/>
      <c r="Q289" s="153"/>
      <c r="R289" s="153"/>
    </row>
    <row r="290" spans="1:18" ht="15">
      <c r="A290" s="150">
        <v>150000.01</v>
      </c>
      <c r="B290" s="150">
        <v>42979</v>
      </c>
      <c r="C290">
        <f aca="true" t="shared" si="52" ref="C290:C353">+B290-B291</f>
        <v>370</v>
      </c>
      <c r="D290" s="153"/>
      <c r="E290" s="153"/>
      <c r="F290" s="153"/>
      <c r="G290" s="153"/>
      <c r="H290" s="153"/>
      <c r="I290" s="153"/>
      <c r="J290" s="153"/>
      <c r="K290" s="153"/>
      <c r="L290" s="153"/>
      <c r="M290" s="153"/>
      <c r="N290" s="153"/>
      <c r="O290" s="153"/>
      <c r="P290" s="153"/>
      <c r="Q290" s="153"/>
      <c r="R290" s="153"/>
    </row>
    <row r="291" spans="1:18" ht="15">
      <c r="A291" s="150">
        <v>150100.01</v>
      </c>
      <c r="B291" s="150">
        <v>42609</v>
      </c>
      <c r="C291">
        <f t="shared" si="52"/>
        <v>339</v>
      </c>
      <c r="D291" s="153"/>
      <c r="E291" s="153"/>
      <c r="F291" s="153"/>
      <c r="G291" s="153"/>
      <c r="H291" s="153"/>
      <c r="I291" s="153"/>
      <c r="J291" s="153"/>
      <c r="K291" s="153"/>
      <c r="L291" s="153"/>
      <c r="M291" s="153"/>
      <c r="N291" s="153"/>
      <c r="O291" s="153"/>
      <c r="P291" s="153"/>
      <c r="Q291" s="153"/>
      <c r="R291" s="153"/>
    </row>
    <row r="292" spans="1:18" ht="15">
      <c r="A292" s="150">
        <v>150200.01</v>
      </c>
      <c r="B292" s="150">
        <v>42270</v>
      </c>
      <c r="C292">
        <f t="shared" si="52"/>
        <v>320</v>
      </c>
      <c r="D292" s="153"/>
      <c r="E292" s="153"/>
      <c r="F292" s="153"/>
      <c r="G292" s="153"/>
      <c r="H292" s="153"/>
      <c r="I292" s="153"/>
      <c r="J292" s="153"/>
      <c r="K292" s="153"/>
      <c r="L292" s="153"/>
      <c r="M292" s="153"/>
      <c r="N292" s="153"/>
      <c r="O292" s="153"/>
      <c r="P292" s="153"/>
      <c r="Q292" s="153"/>
      <c r="R292" s="153"/>
    </row>
    <row r="293" spans="1:18" ht="15">
      <c r="A293" s="150">
        <v>150300.01</v>
      </c>
      <c r="B293" s="150">
        <v>41950</v>
      </c>
      <c r="C293">
        <f t="shared" si="52"/>
        <v>306</v>
      </c>
      <c r="D293" s="153"/>
      <c r="E293" s="153"/>
      <c r="F293" s="153"/>
      <c r="G293" s="153"/>
      <c r="H293" s="153"/>
      <c r="I293" s="153"/>
      <c r="J293" s="153"/>
      <c r="K293" s="153"/>
      <c r="L293" s="153"/>
      <c r="M293" s="153"/>
      <c r="N293" s="153"/>
      <c r="O293" s="153"/>
      <c r="P293" s="153"/>
      <c r="Q293" s="153"/>
      <c r="R293" s="153"/>
    </row>
    <row r="294" spans="1:18" ht="15">
      <c r="A294" s="150">
        <v>150400.01</v>
      </c>
      <c r="B294" s="150">
        <v>41644</v>
      </c>
      <c r="C294">
        <f t="shared" si="52"/>
        <v>296</v>
      </c>
      <c r="D294" s="153"/>
      <c r="E294" s="153"/>
      <c r="F294" s="153"/>
      <c r="G294" s="153"/>
      <c r="H294" s="153"/>
      <c r="I294" s="153"/>
      <c r="J294" s="153"/>
      <c r="K294" s="153"/>
      <c r="L294" s="153"/>
      <c r="M294" s="153"/>
      <c r="N294" s="153"/>
      <c r="O294" s="153"/>
      <c r="P294" s="153"/>
      <c r="Q294" s="153"/>
      <c r="R294" s="153"/>
    </row>
    <row r="295" spans="1:18" ht="15">
      <c r="A295" s="150">
        <v>150500.01</v>
      </c>
      <c r="B295" s="150">
        <v>41348</v>
      </c>
      <c r="C295">
        <f t="shared" si="52"/>
        <v>287</v>
      </c>
      <c r="D295" s="153"/>
      <c r="E295" s="153"/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  <c r="P295" s="153"/>
      <c r="Q295" s="153"/>
      <c r="R295" s="153"/>
    </row>
    <row r="296" spans="1:18" ht="15">
      <c r="A296" s="150">
        <v>150600.01</v>
      </c>
      <c r="B296" s="150">
        <v>41061</v>
      </c>
      <c r="C296">
        <f t="shared" si="52"/>
        <v>281</v>
      </c>
      <c r="D296" s="153"/>
      <c r="E296" s="153"/>
      <c r="F296" s="153"/>
      <c r="G296" s="153"/>
      <c r="H296" s="153"/>
      <c r="I296" s="153"/>
      <c r="J296" s="153"/>
      <c r="K296" s="153"/>
      <c r="L296" s="153"/>
      <c r="M296" s="153"/>
      <c r="N296" s="153"/>
      <c r="O296" s="153"/>
      <c r="P296" s="153"/>
      <c r="Q296" s="153"/>
      <c r="R296" s="153"/>
    </row>
    <row r="297" spans="1:18" ht="15">
      <c r="A297" s="150">
        <v>150700.01</v>
      </c>
      <c r="B297" s="150">
        <v>40780</v>
      </c>
      <c r="C297">
        <f t="shared" si="52"/>
        <v>275</v>
      </c>
      <c r="D297" s="153"/>
      <c r="E297" s="153"/>
      <c r="F297" s="153"/>
      <c r="G297" s="153"/>
      <c r="H297" s="153"/>
      <c r="I297" s="153"/>
      <c r="J297" s="153"/>
      <c r="K297" s="153"/>
      <c r="L297" s="153"/>
      <c r="M297" s="153"/>
      <c r="N297" s="153"/>
      <c r="O297" s="153"/>
      <c r="P297" s="153"/>
      <c r="Q297" s="153"/>
      <c r="R297" s="153"/>
    </row>
    <row r="298" spans="1:18" ht="15">
      <c r="A298" s="150">
        <v>150800.01</v>
      </c>
      <c r="B298" s="150">
        <v>40505</v>
      </c>
      <c r="C298">
        <f t="shared" si="52"/>
        <v>269</v>
      </c>
      <c r="D298" s="153"/>
      <c r="E298" s="153"/>
      <c r="F298" s="153"/>
      <c r="G298" s="153"/>
      <c r="H298" s="153"/>
      <c r="I298" s="153"/>
      <c r="J298" s="153"/>
      <c r="K298" s="153"/>
      <c r="L298" s="153"/>
      <c r="M298" s="153"/>
      <c r="N298" s="153"/>
      <c r="O298" s="153"/>
      <c r="P298" s="153"/>
      <c r="Q298" s="153"/>
      <c r="R298" s="153"/>
    </row>
    <row r="299" spans="1:18" ht="15">
      <c r="A299" s="150">
        <v>150900.01</v>
      </c>
      <c r="B299" s="150">
        <v>40236</v>
      </c>
      <c r="C299">
        <f t="shared" si="52"/>
        <v>265</v>
      </c>
      <c r="D299" s="153"/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  <c r="Q299" s="153"/>
      <c r="R299" s="153"/>
    </row>
    <row r="300" spans="1:18" ht="15">
      <c r="A300" s="150">
        <v>151000.01</v>
      </c>
      <c r="B300" s="150">
        <v>39971</v>
      </c>
      <c r="C300">
        <f t="shared" si="52"/>
        <v>261</v>
      </c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  <c r="Q300" s="153"/>
      <c r="R300" s="153"/>
    </row>
    <row r="301" spans="1:18" ht="15">
      <c r="A301" s="150">
        <v>151100.01</v>
      </c>
      <c r="B301" s="150">
        <v>39710</v>
      </c>
      <c r="C301">
        <f t="shared" si="52"/>
        <v>258</v>
      </c>
      <c r="D301" s="153"/>
      <c r="E301" s="153"/>
      <c r="F301" s="153"/>
      <c r="G301" s="153"/>
      <c r="H301" s="153"/>
      <c r="I301" s="153"/>
      <c r="J301" s="153"/>
      <c r="K301" s="153"/>
      <c r="L301" s="153"/>
      <c r="M301" s="153"/>
      <c r="N301" s="153"/>
      <c r="O301" s="153"/>
      <c r="P301" s="153"/>
      <c r="Q301" s="153"/>
      <c r="R301" s="153"/>
    </row>
    <row r="302" spans="1:18" ht="15">
      <c r="A302" s="150">
        <v>151200.01</v>
      </c>
      <c r="B302" s="150">
        <v>39452</v>
      </c>
      <c r="C302">
        <f t="shared" si="52"/>
        <v>253</v>
      </c>
      <c r="D302" s="153"/>
      <c r="E302" s="153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  <c r="P302" s="153"/>
      <c r="Q302" s="153"/>
      <c r="R302" s="153"/>
    </row>
    <row r="303" spans="1:18" ht="15">
      <c r="A303" s="150">
        <v>151300.01</v>
      </c>
      <c r="B303" s="150">
        <v>39199</v>
      </c>
      <c r="C303">
        <f t="shared" si="52"/>
        <v>251</v>
      </c>
      <c r="D303" s="153"/>
      <c r="E303" s="153"/>
      <c r="F303" s="153"/>
      <c r="G303" s="153"/>
      <c r="H303" s="153"/>
      <c r="I303" s="153"/>
      <c r="J303" s="153"/>
      <c r="K303" s="153"/>
      <c r="L303" s="153"/>
      <c r="M303" s="153"/>
      <c r="N303" s="153"/>
      <c r="O303" s="153"/>
      <c r="P303" s="153"/>
      <c r="Q303" s="153"/>
      <c r="R303" s="153"/>
    </row>
    <row r="304" spans="1:18" ht="15">
      <c r="A304" s="150">
        <v>151400.01</v>
      </c>
      <c r="B304" s="150">
        <v>38948</v>
      </c>
      <c r="C304">
        <f t="shared" si="52"/>
        <v>248</v>
      </c>
      <c r="D304" s="153"/>
      <c r="E304" s="153"/>
      <c r="F304" s="153"/>
      <c r="G304" s="153"/>
      <c r="H304" s="153"/>
      <c r="I304" s="153"/>
      <c r="J304" s="153"/>
      <c r="K304" s="153"/>
      <c r="L304" s="153"/>
      <c r="M304" s="153"/>
      <c r="N304" s="153"/>
      <c r="O304" s="153"/>
      <c r="P304" s="153"/>
      <c r="Q304" s="153"/>
      <c r="R304" s="153"/>
    </row>
    <row r="305" spans="1:18" ht="15">
      <c r="A305" s="150">
        <v>151500.01</v>
      </c>
      <c r="B305" s="150">
        <v>38700</v>
      </c>
      <c r="C305">
        <f t="shared" si="52"/>
        <v>246</v>
      </c>
      <c r="D305" s="153"/>
      <c r="E305" s="153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  <c r="P305" s="153"/>
      <c r="Q305" s="153"/>
      <c r="R305" s="153"/>
    </row>
    <row r="306" spans="1:18" ht="15">
      <c r="A306" s="150">
        <v>151600.01</v>
      </c>
      <c r="B306" s="150">
        <v>38454</v>
      </c>
      <c r="C306">
        <f t="shared" si="52"/>
        <v>243</v>
      </c>
      <c r="D306" s="153"/>
      <c r="E306" s="153"/>
      <c r="F306" s="153"/>
      <c r="G306" s="153"/>
      <c r="H306" s="153"/>
      <c r="I306" s="153"/>
      <c r="J306" s="153"/>
      <c r="K306" s="153"/>
      <c r="L306" s="153"/>
      <c r="M306" s="153"/>
      <c r="N306" s="153"/>
      <c r="O306" s="153"/>
      <c r="P306" s="153"/>
      <c r="Q306" s="153"/>
      <c r="R306" s="153"/>
    </row>
    <row r="307" spans="1:18" ht="15">
      <c r="A307" s="150">
        <v>151700.01</v>
      </c>
      <c r="B307" s="150">
        <v>38211</v>
      </c>
      <c r="C307">
        <f t="shared" si="52"/>
        <v>241</v>
      </c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  <c r="R307" s="153"/>
    </row>
    <row r="308" spans="1:18" ht="15">
      <c r="A308" s="150">
        <v>151800.01</v>
      </c>
      <c r="B308" s="150">
        <v>37970</v>
      </c>
      <c r="C308">
        <f t="shared" si="52"/>
        <v>238</v>
      </c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  <c r="R308" s="153"/>
    </row>
    <row r="309" spans="1:18" ht="15">
      <c r="A309" s="150">
        <v>151900.01</v>
      </c>
      <c r="B309" s="150">
        <v>37732</v>
      </c>
      <c r="C309">
        <f t="shared" si="52"/>
        <v>237</v>
      </c>
      <c r="D309" s="153"/>
      <c r="E309" s="153"/>
      <c r="F309" s="153"/>
      <c r="G309" s="153"/>
      <c r="H309" s="153"/>
      <c r="I309" s="153"/>
      <c r="J309" s="153"/>
      <c r="K309" s="153"/>
      <c r="L309" s="153"/>
      <c r="M309" s="153"/>
      <c r="N309" s="153"/>
      <c r="O309" s="153"/>
      <c r="P309" s="153"/>
      <c r="Q309" s="153"/>
      <c r="R309" s="153"/>
    </row>
    <row r="310" spans="1:18" ht="15">
      <c r="A310" s="150">
        <v>152000.01</v>
      </c>
      <c r="B310" s="150">
        <v>37495</v>
      </c>
      <c r="C310">
        <f t="shared" si="52"/>
        <v>234</v>
      </c>
      <c r="D310" s="153"/>
      <c r="E310" s="153"/>
      <c r="F310" s="153"/>
      <c r="G310" s="153"/>
      <c r="H310" s="153"/>
      <c r="I310" s="153"/>
      <c r="J310" s="153"/>
      <c r="K310" s="153"/>
      <c r="L310" s="153"/>
      <c r="M310" s="153"/>
      <c r="N310" s="153"/>
      <c r="O310" s="153"/>
      <c r="P310" s="153"/>
      <c r="Q310" s="153"/>
      <c r="R310" s="153"/>
    </row>
    <row r="311" spans="1:18" ht="15">
      <c r="A311" s="150">
        <v>152100.01</v>
      </c>
      <c r="B311" s="150">
        <v>37261</v>
      </c>
      <c r="C311">
        <f t="shared" si="52"/>
        <v>233</v>
      </c>
      <c r="D311" s="153"/>
      <c r="E311" s="153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  <c r="P311" s="153"/>
      <c r="Q311" s="153"/>
      <c r="R311" s="153"/>
    </row>
    <row r="312" spans="1:18" ht="15">
      <c r="A312" s="150">
        <v>152200.01</v>
      </c>
      <c r="B312" s="150">
        <v>37028</v>
      </c>
      <c r="C312">
        <f t="shared" si="52"/>
        <v>231</v>
      </c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  <c r="R312" s="153"/>
    </row>
    <row r="313" spans="1:18" ht="15">
      <c r="A313" s="150">
        <v>152300.01</v>
      </c>
      <c r="B313" s="150">
        <v>36797</v>
      </c>
      <c r="C313">
        <f t="shared" si="52"/>
        <v>230</v>
      </c>
      <c r="D313" s="153"/>
      <c r="E313" s="153"/>
      <c r="F313" s="153"/>
      <c r="G313" s="153"/>
      <c r="H313" s="153"/>
      <c r="I313" s="153"/>
      <c r="J313" s="153"/>
      <c r="K313" s="153"/>
      <c r="L313" s="153"/>
      <c r="M313" s="153"/>
      <c r="N313" s="153"/>
      <c r="O313" s="153"/>
      <c r="P313" s="153"/>
      <c r="Q313" s="153"/>
      <c r="R313" s="153"/>
    </row>
    <row r="314" spans="1:18" ht="15">
      <c r="A314" s="150">
        <v>152400.01</v>
      </c>
      <c r="B314" s="150">
        <v>36567</v>
      </c>
      <c r="C314">
        <f t="shared" si="52"/>
        <v>228</v>
      </c>
      <c r="D314" s="153"/>
      <c r="E314" s="153"/>
      <c r="F314" s="153"/>
      <c r="G314" s="153"/>
      <c r="H314" s="153"/>
      <c r="I314" s="153"/>
      <c r="J314" s="153"/>
      <c r="K314" s="153"/>
      <c r="L314" s="153"/>
      <c r="M314" s="153"/>
      <c r="N314" s="153"/>
      <c r="O314" s="153"/>
      <c r="P314" s="153"/>
      <c r="Q314" s="153"/>
      <c r="R314" s="153"/>
    </row>
    <row r="315" spans="1:18" ht="15">
      <c r="A315" s="150">
        <v>152500.01</v>
      </c>
      <c r="B315" s="150">
        <v>36339</v>
      </c>
      <c r="C315">
        <f t="shared" si="52"/>
        <v>226</v>
      </c>
      <c r="D315" s="153"/>
      <c r="E315" s="153"/>
      <c r="F315" s="153"/>
      <c r="G315" s="153"/>
      <c r="H315" s="153"/>
      <c r="I315" s="153"/>
      <c r="J315" s="153"/>
      <c r="K315" s="153"/>
      <c r="L315" s="153"/>
      <c r="M315" s="153"/>
      <c r="N315" s="153"/>
      <c r="O315" s="153"/>
      <c r="P315" s="153"/>
      <c r="Q315" s="153"/>
      <c r="R315" s="153"/>
    </row>
    <row r="316" spans="1:18" ht="15">
      <c r="A316" s="150">
        <v>152600.01</v>
      </c>
      <c r="B316" s="150">
        <v>36113</v>
      </c>
      <c r="C316">
        <f t="shared" si="52"/>
        <v>225</v>
      </c>
      <c r="D316" s="153"/>
      <c r="E316" s="153"/>
      <c r="F316" s="153"/>
      <c r="G316" s="153"/>
      <c r="H316" s="153"/>
      <c r="I316" s="153"/>
      <c r="J316" s="153"/>
      <c r="K316" s="153"/>
      <c r="L316" s="153"/>
      <c r="M316" s="153"/>
      <c r="N316" s="153"/>
      <c r="O316" s="153"/>
      <c r="P316" s="153"/>
      <c r="Q316" s="153"/>
      <c r="R316" s="153"/>
    </row>
    <row r="317" spans="1:18" ht="15">
      <c r="A317" s="150">
        <v>152700.01</v>
      </c>
      <c r="B317" s="150">
        <v>35888</v>
      </c>
      <c r="C317">
        <f t="shared" si="52"/>
        <v>224</v>
      </c>
      <c r="D317" s="153"/>
      <c r="E317" s="153"/>
      <c r="F317" s="153"/>
      <c r="G317" s="153"/>
      <c r="H317" s="153"/>
      <c r="I317" s="153"/>
      <c r="J317" s="153"/>
      <c r="K317" s="153"/>
      <c r="L317" s="153"/>
      <c r="M317" s="153"/>
      <c r="N317" s="153"/>
      <c r="O317" s="153"/>
      <c r="P317" s="153"/>
      <c r="Q317" s="153"/>
      <c r="R317" s="153"/>
    </row>
    <row r="318" spans="1:18" ht="15">
      <c r="A318" s="150">
        <v>152800.01</v>
      </c>
      <c r="B318" s="150">
        <v>35664</v>
      </c>
      <c r="C318">
        <f t="shared" si="52"/>
        <v>222</v>
      </c>
      <c r="D318" s="153"/>
      <c r="E318" s="153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  <c r="P318" s="153"/>
      <c r="Q318" s="153"/>
      <c r="R318" s="153"/>
    </row>
    <row r="319" spans="1:18" ht="15">
      <c r="A319" s="150">
        <v>152900.01</v>
      </c>
      <c r="B319" s="150">
        <v>35442</v>
      </c>
      <c r="C319">
        <f t="shared" si="52"/>
        <v>221</v>
      </c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  <c r="Q319" s="153"/>
      <c r="R319" s="153"/>
    </row>
    <row r="320" spans="1:18" ht="15">
      <c r="A320" s="150">
        <v>153000.01</v>
      </c>
      <c r="B320" s="150">
        <v>35221</v>
      </c>
      <c r="C320">
        <f t="shared" si="52"/>
        <v>220</v>
      </c>
      <c r="D320" s="153"/>
      <c r="E320" s="153"/>
      <c r="F320" s="153"/>
      <c r="G320" s="153"/>
      <c r="H320" s="153"/>
      <c r="I320" s="153"/>
      <c r="J320" s="153"/>
      <c r="K320" s="153"/>
      <c r="L320" s="153"/>
      <c r="M320" s="153"/>
      <c r="N320" s="153"/>
      <c r="O320" s="153"/>
      <c r="P320" s="153"/>
      <c r="Q320" s="153"/>
      <c r="R320" s="153"/>
    </row>
    <row r="321" spans="1:18" ht="15">
      <c r="A321" s="150">
        <v>153100.01</v>
      </c>
      <c r="B321" s="150">
        <v>35001</v>
      </c>
      <c r="C321">
        <f t="shared" si="52"/>
        <v>219</v>
      </c>
      <c r="D321" s="153"/>
      <c r="E321" s="153"/>
      <c r="F321" s="153"/>
      <c r="G321" s="153"/>
      <c r="H321" s="153"/>
      <c r="I321" s="153"/>
      <c r="J321" s="153"/>
      <c r="K321" s="153"/>
      <c r="L321" s="153"/>
      <c r="M321" s="153"/>
      <c r="N321" s="153"/>
      <c r="O321" s="153"/>
      <c r="P321" s="153"/>
      <c r="Q321" s="153"/>
      <c r="R321" s="153"/>
    </row>
    <row r="322" spans="1:18" ht="15">
      <c r="A322" s="150">
        <v>153200.01</v>
      </c>
      <c r="B322" s="150">
        <v>34782</v>
      </c>
      <c r="C322">
        <f t="shared" si="52"/>
        <v>217</v>
      </c>
      <c r="D322" s="153"/>
      <c r="E322" s="153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  <c r="P322" s="153"/>
      <c r="Q322" s="153"/>
      <c r="R322" s="153"/>
    </row>
    <row r="323" spans="1:18" ht="15">
      <c r="A323" s="150">
        <v>153300.01</v>
      </c>
      <c r="B323" s="150">
        <v>34565</v>
      </c>
      <c r="C323">
        <f t="shared" si="52"/>
        <v>217</v>
      </c>
      <c r="D323" s="153"/>
      <c r="E323" s="153"/>
      <c r="F323" s="153"/>
      <c r="G323" s="153"/>
      <c r="H323" s="153"/>
      <c r="I323" s="153"/>
      <c r="J323" s="153"/>
      <c r="K323" s="153"/>
      <c r="L323" s="153"/>
      <c r="M323" s="153"/>
      <c r="N323" s="153"/>
      <c r="O323" s="153"/>
      <c r="P323" s="153"/>
      <c r="Q323" s="153"/>
      <c r="R323" s="153"/>
    </row>
    <row r="324" spans="1:18" ht="15">
      <c r="A324" s="150">
        <v>153400.01</v>
      </c>
      <c r="B324" s="150">
        <v>34348</v>
      </c>
      <c r="C324">
        <f t="shared" si="52"/>
        <v>215</v>
      </c>
      <c r="D324" s="153"/>
      <c r="E324" s="153"/>
      <c r="F324" s="153"/>
      <c r="G324" s="153"/>
      <c r="H324" s="153"/>
      <c r="I324" s="153"/>
      <c r="J324" s="153"/>
      <c r="K324" s="153"/>
      <c r="L324" s="153"/>
      <c r="M324" s="153"/>
      <c r="N324" s="153"/>
      <c r="O324" s="153"/>
      <c r="P324" s="153"/>
      <c r="Q324" s="153"/>
      <c r="R324" s="153"/>
    </row>
    <row r="325" spans="1:18" ht="15">
      <c r="A325" s="150">
        <v>153500.01</v>
      </c>
      <c r="B325" s="150">
        <v>34133</v>
      </c>
      <c r="C325">
        <f t="shared" si="52"/>
        <v>215</v>
      </c>
      <c r="D325" s="153"/>
      <c r="E325" s="153"/>
      <c r="F325" s="153"/>
      <c r="G325" s="153"/>
      <c r="H325" s="153"/>
      <c r="I325" s="153"/>
      <c r="J325" s="153"/>
      <c r="K325" s="153"/>
      <c r="L325" s="153"/>
      <c r="M325" s="153"/>
      <c r="N325" s="153"/>
      <c r="O325" s="153"/>
      <c r="P325" s="153"/>
      <c r="Q325" s="153"/>
      <c r="R325" s="153"/>
    </row>
    <row r="326" spans="1:18" ht="15">
      <c r="A326" s="150">
        <v>153600.01</v>
      </c>
      <c r="B326" s="150">
        <v>33918</v>
      </c>
      <c r="C326">
        <f t="shared" si="52"/>
        <v>213</v>
      </c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  <c r="Q326" s="153"/>
      <c r="R326" s="153"/>
    </row>
    <row r="327" spans="1:18" ht="15">
      <c r="A327" s="150">
        <v>153700.01</v>
      </c>
      <c r="B327" s="150">
        <v>33705</v>
      </c>
      <c r="C327">
        <f t="shared" si="52"/>
        <v>213</v>
      </c>
      <c r="D327" s="153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  <c r="P327" s="153"/>
      <c r="Q327" s="153"/>
      <c r="R327" s="153"/>
    </row>
    <row r="328" spans="1:18" ht="15">
      <c r="A328" s="150">
        <v>153800.01</v>
      </c>
      <c r="B328" s="150">
        <v>33492</v>
      </c>
      <c r="C328">
        <f t="shared" si="52"/>
        <v>211</v>
      </c>
      <c r="D328" s="153"/>
      <c r="E328" s="153"/>
      <c r="F328" s="153"/>
      <c r="G328" s="153"/>
      <c r="H328" s="153"/>
      <c r="I328" s="153"/>
      <c r="J328" s="153"/>
      <c r="K328" s="153"/>
      <c r="L328" s="153"/>
      <c r="M328" s="153"/>
      <c r="N328" s="153"/>
      <c r="O328" s="153"/>
      <c r="P328" s="153"/>
      <c r="Q328" s="153"/>
      <c r="R328" s="153"/>
    </row>
    <row r="329" spans="1:18" ht="15">
      <c r="A329" s="150">
        <v>153900.01</v>
      </c>
      <c r="B329" s="150">
        <v>33281</v>
      </c>
      <c r="C329">
        <f t="shared" si="52"/>
        <v>211</v>
      </c>
      <c r="D329" s="153"/>
      <c r="E329" s="153"/>
      <c r="F329" s="153"/>
      <c r="G329" s="153"/>
      <c r="H329" s="153"/>
      <c r="I329" s="153"/>
      <c r="J329" s="153"/>
      <c r="K329" s="153"/>
      <c r="L329" s="153"/>
      <c r="M329" s="153"/>
      <c r="N329" s="153"/>
      <c r="O329" s="153"/>
      <c r="P329" s="153"/>
      <c r="Q329" s="153"/>
      <c r="R329" s="153"/>
    </row>
    <row r="330" spans="1:18" ht="15">
      <c r="A330" s="150">
        <v>154000.01</v>
      </c>
      <c r="B330" s="150">
        <v>33070</v>
      </c>
      <c r="C330">
        <f t="shared" si="52"/>
        <v>210</v>
      </c>
      <c r="D330" s="153"/>
      <c r="E330" s="153"/>
      <c r="F330" s="153"/>
      <c r="G330" s="153"/>
      <c r="H330" s="153"/>
      <c r="I330" s="153"/>
      <c r="J330" s="153"/>
      <c r="K330" s="153"/>
      <c r="L330" s="153"/>
      <c r="M330" s="153"/>
      <c r="N330" s="153"/>
      <c r="O330" s="153"/>
      <c r="P330" s="153"/>
      <c r="Q330" s="153"/>
      <c r="R330" s="153"/>
    </row>
    <row r="331" spans="1:18" ht="15">
      <c r="A331" s="150">
        <v>154100.01</v>
      </c>
      <c r="B331" s="150">
        <v>32860</v>
      </c>
      <c r="C331">
        <f t="shared" si="52"/>
        <v>209</v>
      </c>
      <c r="D331" s="153"/>
      <c r="E331" s="153"/>
      <c r="F331" s="153"/>
      <c r="G331" s="153"/>
      <c r="H331" s="153"/>
      <c r="I331" s="153"/>
      <c r="J331" s="153"/>
      <c r="K331" s="153"/>
      <c r="L331" s="153"/>
      <c r="M331" s="153"/>
      <c r="N331" s="153"/>
      <c r="O331" s="153"/>
      <c r="P331" s="153"/>
      <c r="Q331" s="153"/>
      <c r="R331" s="153"/>
    </row>
    <row r="332" spans="1:18" ht="15">
      <c r="A332" s="150">
        <v>154200.01</v>
      </c>
      <c r="B332" s="150">
        <v>32651</v>
      </c>
      <c r="C332">
        <f t="shared" si="52"/>
        <v>208</v>
      </c>
      <c r="D332" s="153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  <c r="Q332" s="153"/>
      <c r="R332" s="153"/>
    </row>
    <row r="333" spans="1:18" ht="15">
      <c r="A333" s="150">
        <v>154300.01</v>
      </c>
      <c r="B333" s="150">
        <v>32443</v>
      </c>
      <c r="C333">
        <f t="shared" si="52"/>
        <v>207</v>
      </c>
      <c r="D333" s="153"/>
      <c r="E333" s="153"/>
      <c r="F333" s="153"/>
      <c r="G333" s="153"/>
      <c r="H333" s="153"/>
      <c r="I333" s="153"/>
      <c r="J333" s="153"/>
      <c r="K333" s="153"/>
      <c r="L333" s="153"/>
      <c r="M333" s="153"/>
      <c r="N333" s="153"/>
      <c r="O333" s="153"/>
      <c r="P333" s="153"/>
      <c r="Q333" s="153"/>
      <c r="R333" s="153"/>
    </row>
    <row r="334" spans="1:18" ht="15">
      <c r="A334" s="150">
        <v>154400.01</v>
      </c>
      <c r="B334" s="150">
        <v>32236</v>
      </c>
      <c r="C334">
        <f t="shared" si="52"/>
        <v>207</v>
      </c>
      <c r="D334" s="153"/>
      <c r="E334" s="153"/>
      <c r="F334" s="153"/>
      <c r="G334" s="153"/>
      <c r="H334" s="153"/>
      <c r="I334" s="153"/>
      <c r="J334" s="153"/>
      <c r="K334" s="153"/>
      <c r="L334" s="153"/>
      <c r="M334" s="153"/>
      <c r="N334" s="153"/>
      <c r="O334" s="153"/>
      <c r="P334" s="153"/>
      <c r="Q334" s="153"/>
      <c r="R334" s="153"/>
    </row>
    <row r="335" spans="1:18" ht="15">
      <c r="A335" s="150">
        <v>154500.01</v>
      </c>
      <c r="B335" s="150">
        <v>32029</v>
      </c>
      <c r="C335">
        <f t="shared" si="52"/>
        <v>205</v>
      </c>
      <c r="D335" s="153"/>
      <c r="E335" s="153"/>
      <c r="F335" s="153"/>
      <c r="G335" s="153"/>
      <c r="H335" s="153"/>
      <c r="I335" s="153"/>
      <c r="J335" s="153"/>
      <c r="K335" s="153"/>
      <c r="L335" s="153"/>
      <c r="M335" s="153"/>
      <c r="N335" s="153"/>
      <c r="O335" s="153"/>
      <c r="P335" s="153"/>
      <c r="Q335" s="153"/>
      <c r="R335" s="153"/>
    </row>
    <row r="336" spans="1:18" ht="15">
      <c r="A336" s="150">
        <v>154600.01</v>
      </c>
      <c r="B336" s="150">
        <v>31824</v>
      </c>
      <c r="C336">
        <f t="shared" si="52"/>
        <v>206</v>
      </c>
      <c r="D336" s="153"/>
      <c r="E336" s="153"/>
      <c r="F336" s="153"/>
      <c r="G336" s="153"/>
      <c r="H336" s="153"/>
      <c r="I336" s="153"/>
      <c r="J336" s="153"/>
      <c r="K336" s="153"/>
      <c r="L336" s="153"/>
      <c r="M336" s="153"/>
      <c r="N336" s="153"/>
      <c r="O336" s="153"/>
      <c r="P336" s="153"/>
      <c r="Q336" s="153"/>
      <c r="R336" s="153"/>
    </row>
    <row r="337" spans="1:18" ht="15">
      <c r="A337" s="150">
        <v>154700.01</v>
      </c>
      <c r="B337" s="150">
        <v>31618</v>
      </c>
      <c r="C337">
        <f t="shared" si="52"/>
        <v>204</v>
      </c>
      <c r="D337" s="153"/>
      <c r="E337" s="153"/>
      <c r="F337" s="153"/>
      <c r="G337" s="153"/>
      <c r="H337" s="153"/>
      <c r="I337" s="153"/>
      <c r="J337" s="153"/>
      <c r="K337" s="153"/>
      <c r="L337" s="153"/>
      <c r="M337" s="153"/>
      <c r="N337" s="153"/>
      <c r="O337" s="153"/>
      <c r="P337" s="153"/>
      <c r="Q337" s="153"/>
      <c r="R337" s="153"/>
    </row>
    <row r="338" spans="1:18" ht="15">
      <c r="A338" s="150">
        <v>154800.01</v>
      </c>
      <c r="B338" s="150">
        <v>31414</v>
      </c>
      <c r="C338">
        <f t="shared" si="52"/>
        <v>203</v>
      </c>
      <c r="D338" s="153"/>
      <c r="E338" s="153"/>
      <c r="F338" s="153"/>
      <c r="G338" s="153"/>
      <c r="H338" s="153"/>
      <c r="I338" s="153"/>
      <c r="J338" s="153"/>
      <c r="K338" s="153"/>
      <c r="L338" s="153"/>
      <c r="M338" s="153"/>
      <c r="N338" s="153"/>
      <c r="O338" s="153"/>
      <c r="P338" s="153"/>
      <c r="Q338" s="153"/>
      <c r="R338" s="153"/>
    </row>
    <row r="339" spans="1:18" ht="15">
      <c r="A339" s="150">
        <v>154900.01</v>
      </c>
      <c r="B339" s="150">
        <v>31211</v>
      </c>
      <c r="C339">
        <f t="shared" si="52"/>
        <v>203</v>
      </c>
      <c r="D339" s="153"/>
      <c r="E339" s="153"/>
      <c r="F339" s="153"/>
      <c r="G339" s="153"/>
      <c r="H339" s="153"/>
      <c r="I339" s="153"/>
      <c r="J339" s="153"/>
      <c r="K339" s="153"/>
      <c r="L339" s="153"/>
      <c r="M339" s="153"/>
      <c r="N339" s="153"/>
      <c r="O339" s="153"/>
      <c r="P339" s="153"/>
      <c r="Q339" s="153"/>
      <c r="R339" s="153"/>
    </row>
    <row r="340" spans="1:18" ht="15">
      <c r="A340" s="150">
        <v>155000.01</v>
      </c>
      <c r="B340" s="150">
        <v>31008</v>
      </c>
      <c r="C340">
        <f t="shared" si="52"/>
        <v>203</v>
      </c>
      <c r="D340" s="153"/>
      <c r="E340" s="153"/>
      <c r="F340" s="153"/>
      <c r="G340" s="153"/>
      <c r="H340" s="153"/>
      <c r="I340" s="153"/>
      <c r="J340" s="153"/>
      <c r="K340" s="153"/>
      <c r="L340" s="153"/>
      <c r="M340" s="153"/>
      <c r="N340" s="153"/>
      <c r="O340" s="153"/>
      <c r="P340" s="153"/>
      <c r="Q340" s="153"/>
      <c r="R340" s="153"/>
    </row>
    <row r="341" spans="1:18" ht="15">
      <c r="A341" s="150">
        <v>155100.01</v>
      </c>
      <c r="B341" s="150">
        <v>30805</v>
      </c>
      <c r="C341">
        <f t="shared" si="52"/>
        <v>201</v>
      </c>
      <c r="D341" s="153"/>
      <c r="E341" s="153"/>
      <c r="F341" s="153"/>
      <c r="G341" s="153"/>
      <c r="H341" s="153"/>
      <c r="I341" s="153"/>
      <c r="J341" s="153"/>
      <c r="K341" s="153"/>
      <c r="L341" s="153"/>
      <c r="M341" s="153"/>
      <c r="N341" s="153"/>
      <c r="O341" s="153"/>
      <c r="P341" s="153"/>
      <c r="Q341" s="153"/>
      <c r="R341" s="153"/>
    </row>
    <row r="342" spans="1:18" ht="15">
      <c r="A342" s="150">
        <v>155200.01</v>
      </c>
      <c r="B342" s="150">
        <v>30604</v>
      </c>
      <c r="C342">
        <f t="shared" si="52"/>
        <v>201</v>
      </c>
      <c r="D342" s="153"/>
      <c r="E342" s="153"/>
      <c r="F342" s="153"/>
      <c r="G342" s="153"/>
      <c r="H342" s="153"/>
      <c r="I342" s="153"/>
      <c r="J342" s="153"/>
      <c r="K342" s="153"/>
      <c r="L342" s="153"/>
      <c r="M342" s="153"/>
      <c r="N342" s="153"/>
      <c r="O342" s="153"/>
      <c r="P342" s="153"/>
      <c r="Q342" s="153"/>
      <c r="R342" s="153"/>
    </row>
    <row r="343" spans="1:18" ht="15">
      <c r="A343" s="150">
        <v>155300.01</v>
      </c>
      <c r="B343" s="150">
        <v>30403</v>
      </c>
      <c r="C343">
        <f t="shared" si="52"/>
        <v>200</v>
      </c>
      <c r="D343" s="153"/>
      <c r="E343" s="153"/>
      <c r="F343" s="153"/>
      <c r="G343" s="153"/>
      <c r="H343" s="153"/>
      <c r="I343" s="153"/>
      <c r="J343" s="153"/>
      <c r="K343" s="153"/>
      <c r="L343" s="153"/>
      <c r="M343" s="153"/>
      <c r="N343" s="153"/>
      <c r="O343" s="153"/>
      <c r="P343" s="153"/>
      <c r="Q343" s="153"/>
      <c r="R343" s="153"/>
    </row>
    <row r="344" spans="1:18" ht="15">
      <c r="A344" s="150">
        <v>155400.01</v>
      </c>
      <c r="B344" s="150">
        <v>30203</v>
      </c>
      <c r="C344">
        <f t="shared" si="52"/>
        <v>200</v>
      </c>
      <c r="D344" s="153"/>
      <c r="E344" s="153"/>
      <c r="F344" s="153"/>
      <c r="G344" s="153"/>
      <c r="H344" s="153"/>
      <c r="I344" s="153"/>
      <c r="J344" s="153"/>
      <c r="K344" s="153"/>
      <c r="L344" s="153"/>
      <c r="M344" s="153"/>
      <c r="N344" s="153"/>
      <c r="O344" s="153"/>
      <c r="P344" s="153"/>
      <c r="Q344" s="153"/>
      <c r="R344" s="153"/>
    </row>
    <row r="345" spans="1:18" ht="15">
      <c r="A345" s="150">
        <v>155500.01</v>
      </c>
      <c r="B345" s="150">
        <v>30003</v>
      </c>
      <c r="C345">
        <f t="shared" si="52"/>
        <v>199</v>
      </c>
      <c r="D345" s="153"/>
      <c r="E345" s="153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  <c r="P345" s="153"/>
      <c r="Q345" s="153"/>
      <c r="R345" s="153"/>
    </row>
    <row r="346" spans="1:18" ht="15">
      <c r="A346" s="150">
        <v>155600.01</v>
      </c>
      <c r="B346" s="150">
        <v>29804</v>
      </c>
      <c r="C346">
        <f t="shared" si="52"/>
        <v>199</v>
      </c>
      <c r="D346" s="153"/>
      <c r="E346" s="153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P346" s="153"/>
      <c r="Q346" s="153"/>
      <c r="R346" s="153"/>
    </row>
    <row r="347" spans="1:18" ht="15">
      <c r="A347" s="150">
        <v>155700.01</v>
      </c>
      <c r="B347" s="150">
        <v>29605</v>
      </c>
      <c r="C347">
        <f t="shared" si="52"/>
        <v>198</v>
      </c>
      <c r="D347" s="153"/>
      <c r="E347" s="153"/>
      <c r="F347" s="153"/>
      <c r="G347" s="153"/>
      <c r="H347" s="153"/>
      <c r="I347" s="153"/>
      <c r="J347" s="153"/>
      <c r="K347" s="153"/>
      <c r="L347" s="153"/>
      <c r="M347" s="153"/>
      <c r="N347" s="153"/>
      <c r="O347" s="153"/>
      <c r="P347" s="153"/>
      <c r="Q347" s="153"/>
      <c r="R347" s="153"/>
    </row>
    <row r="348" spans="1:18" ht="15">
      <c r="A348" s="150">
        <v>155800.01</v>
      </c>
      <c r="B348" s="150">
        <v>29407</v>
      </c>
      <c r="C348">
        <f t="shared" si="52"/>
        <v>197</v>
      </c>
      <c r="D348" s="153"/>
      <c r="E348" s="153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  <c r="R348" s="153"/>
    </row>
    <row r="349" spans="1:18" ht="15">
      <c r="A349" s="150">
        <v>155900.01</v>
      </c>
      <c r="B349" s="150">
        <v>29210</v>
      </c>
      <c r="C349">
        <f t="shared" si="52"/>
        <v>197</v>
      </c>
      <c r="D349" s="153"/>
      <c r="E349" s="153"/>
      <c r="F349" s="153"/>
      <c r="G349" s="153"/>
      <c r="H349" s="153"/>
      <c r="I349" s="153"/>
      <c r="J349" s="153"/>
      <c r="K349" s="153"/>
      <c r="L349" s="153"/>
      <c r="M349" s="153"/>
      <c r="N349" s="153"/>
      <c r="O349" s="153"/>
      <c r="P349" s="153"/>
      <c r="Q349" s="153"/>
      <c r="R349" s="153"/>
    </row>
    <row r="350" spans="1:18" ht="15">
      <c r="A350" s="150">
        <v>156000.01</v>
      </c>
      <c r="B350" s="150">
        <v>29013</v>
      </c>
      <c r="C350">
        <f t="shared" si="52"/>
        <v>196</v>
      </c>
      <c r="D350" s="153"/>
      <c r="E350" s="153"/>
      <c r="F350" s="153"/>
      <c r="G350" s="153"/>
      <c r="H350" s="153"/>
      <c r="I350" s="153"/>
      <c r="J350" s="153"/>
      <c r="K350" s="153"/>
      <c r="L350" s="153"/>
      <c r="M350" s="153"/>
      <c r="N350" s="153"/>
      <c r="O350" s="153"/>
      <c r="P350" s="153"/>
      <c r="Q350" s="153"/>
      <c r="R350" s="153"/>
    </row>
    <row r="351" spans="1:18" ht="15">
      <c r="A351" s="150">
        <v>156100.01</v>
      </c>
      <c r="B351" s="150">
        <v>28817</v>
      </c>
      <c r="C351">
        <f t="shared" si="52"/>
        <v>196</v>
      </c>
      <c r="D351" s="153"/>
      <c r="E351" s="153"/>
      <c r="F351" s="153"/>
      <c r="G351" s="153"/>
      <c r="H351" s="153"/>
      <c r="I351" s="153"/>
      <c r="J351" s="153"/>
      <c r="K351" s="153"/>
      <c r="L351" s="153"/>
      <c r="M351" s="153"/>
      <c r="N351" s="153"/>
      <c r="O351" s="153"/>
      <c r="P351" s="153"/>
      <c r="Q351" s="153"/>
      <c r="R351" s="153"/>
    </row>
    <row r="352" spans="1:18" ht="15">
      <c r="A352" s="150">
        <v>156200.01</v>
      </c>
      <c r="B352" s="150">
        <v>28621</v>
      </c>
      <c r="C352">
        <f t="shared" si="52"/>
        <v>195</v>
      </c>
      <c r="D352" s="153"/>
      <c r="E352" s="153"/>
      <c r="F352" s="153"/>
      <c r="G352" s="153"/>
      <c r="H352" s="153"/>
      <c r="I352" s="153"/>
      <c r="J352" s="153"/>
      <c r="K352" s="153"/>
      <c r="L352" s="153"/>
      <c r="M352" s="153"/>
      <c r="N352" s="153"/>
      <c r="O352" s="153"/>
      <c r="P352" s="153"/>
      <c r="Q352" s="153"/>
      <c r="R352" s="153"/>
    </row>
    <row r="353" spans="1:18" ht="15">
      <c r="A353" s="150">
        <v>156300.01</v>
      </c>
      <c r="B353" s="150">
        <v>28426</v>
      </c>
      <c r="C353">
        <f t="shared" si="52"/>
        <v>195</v>
      </c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Q353" s="153"/>
      <c r="R353" s="153"/>
    </row>
    <row r="354" spans="1:18" ht="15">
      <c r="A354" s="150">
        <v>156400.01</v>
      </c>
      <c r="B354" s="150">
        <v>28231</v>
      </c>
      <c r="C354">
        <f aca="true" t="shared" si="53" ref="C354:C417">+B354-B355</f>
        <v>194</v>
      </c>
      <c r="D354" s="153"/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  <c r="Q354" s="153"/>
      <c r="R354" s="153"/>
    </row>
    <row r="355" spans="1:18" ht="15">
      <c r="A355" s="150">
        <v>156500.01</v>
      </c>
      <c r="B355" s="150">
        <v>28037</v>
      </c>
      <c r="C355">
        <f t="shared" si="53"/>
        <v>193</v>
      </c>
      <c r="D355" s="153"/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  <c r="R355" s="153"/>
    </row>
    <row r="356" spans="1:18" ht="15">
      <c r="A356" s="150">
        <v>156600.01</v>
      </c>
      <c r="B356" s="150">
        <v>27844</v>
      </c>
      <c r="C356">
        <f t="shared" si="53"/>
        <v>193</v>
      </c>
      <c r="D356" s="153"/>
      <c r="E356" s="153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  <c r="R356" s="153"/>
    </row>
    <row r="357" spans="1:18" ht="15">
      <c r="A357" s="150">
        <v>156700.01</v>
      </c>
      <c r="B357" s="150">
        <v>27651</v>
      </c>
      <c r="C357">
        <f t="shared" si="53"/>
        <v>193</v>
      </c>
      <c r="D357" s="153"/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R357" s="153"/>
    </row>
    <row r="358" spans="1:18" ht="15">
      <c r="A358" s="150">
        <v>156800.01</v>
      </c>
      <c r="B358" s="150">
        <v>27458</v>
      </c>
      <c r="C358">
        <f t="shared" si="53"/>
        <v>192</v>
      </c>
      <c r="D358" s="153"/>
      <c r="E358" s="153"/>
      <c r="F358" s="153"/>
      <c r="G358" s="153"/>
      <c r="H358" s="153"/>
      <c r="I358" s="153"/>
      <c r="J358" s="153"/>
      <c r="K358" s="153"/>
      <c r="L358" s="153"/>
      <c r="M358" s="153"/>
      <c r="N358" s="153"/>
      <c r="O358" s="153"/>
      <c r="P358" s="153"/>
      <c r="Q358" s="153"/>
      <c r="R358" s="153"/>
    </row>
    <row r="359" spans="1:18" ht="15">
      <c r="A359" s="150">
        <v>156900.01</v>
      </c>
      <c r="B359" s="150">
        <v>27266</v>
      </c>
      <c r="C359">
        <f t="shared" si="53"/>
        <v>192</v>
      </c>
      <c r="D359" s="153"/>
      <c r="E359" s="153"/>
      <c r="F359" s="153"/>
      <c r="G359" s="153"/>
      <c r="H359" s="153"/>
      <c r="I359" s="153"/>
      <c r="J359" s="153"/>
      <c r="K359" s="153"/>
      <c r="L359" s="153"/>
      <c r="M359" s="153"/>
      <c r="N359" s="153"/>
      <c r="O359" s="153"/>
      <c r="P359" s="153"/>
      <c r="Q359" s="153"/>
      <c r="R359" s="153"/>
    </row>
    <row r="360" spans="1:18" ht="15">
      <c r="A360" s="150">
        <v>157000.01</v>
      </c>
      <c r="B360" s="150">
        <v>27074</v>
      </c>
      <c r="C360">
        <f t="shared" si="53"/>
        <v>191</v>
      </c>
      <c r="D360" s="153"/>
      <c r="E360" s="153"/>
      <c r="F360" s="153"/>
      <c r="G360" s="153"/>
      <c r="H360" s="153"/>
      <c r="I360" s="153"/>
      <c r="J360" s="153"/>
      <c r="K360" s="153"/>
      <c r="L360" s="153"/>
      <c r="M360" s="153"/>
      <c r="N360" s="153"/>
      <c r="O360" s="153"/>
      <c r="P360" s="153"/>
      <c r="Q360" s="153"/>
      <c r="R360" s="153"/>
    </row>
    <row r="361" spans="1:18" ht="15">
      <c r="A361" s="150">
        <v>157100.01</v>
      </c>
      <c r="B361" s="150">
        <v>26883</v>
      </c>
      <c r="C361">
        <f t="shared" si="53"/>
        <v>191</v>
      </c>
      <c r="D361" s="153"/>
      <c r="E361" s="153"/>
      <c r="F361" s="153"/>
      <c r="G361" s="153"/>
      <c r="H361" s="153"/>
      <c r="I361" s="153"/>
      <c r="J361" s="153"/>
      <c r="K361" s="153"/>
      <c r="L361" s="153"/>
      <c r="M361" s="153"/>
      <c r="N361" s="153"/>
      <c r="O361" s="153"/>
      <c r="P361" s="153"/>
      <c r="Q361" s="153"/>
      <c r="R361" s="153"/>
    </row>
    <row r="362" spans="1:18" ht="15">
      <c r="A362" s="150">
        <v>157200.01</v>
      </c>
      <c r="B362" s="150">
        <v>26692</v>
      </c>
      <c r="C362">
        <f t="shared" si="53"/>
        <v>191</v>
      </c>
      <c r="D362" s="153"/>
      <c r="E362" s="153"/>
      <c r="F362" s="153"/>
      <c r="G362" s="153"/>
      <c r="H362" s="153"/>
      <c r="I362" s="153"/>
      <c r="J362" s="153"/>
      <c r="K362" s="153"/>
      <c r="L362" s="153"/>
      <c r="M362" s="153"/>
      <c r="N362" s="153"/>
      <c r="O362" s="153"/>
      <c r="P362" s="153"/>
      <c r="Q362" s="153"/>
      <c r="R362" s="153"/>
    </row>
    <row r="363" spans="1:18" ht="15">
      <c r="A363" s="150">
        <v>157300.01</v>
      </c>
      <c r="B363" s="150">
        <v>26501</v>
      </c>
      <c r="C363">
        <f t="shared" si="53"/>
        <v>190</v>
      </c>
      <c r="D363" s="153"/>
      <c r="E363" s="153"/>
      <c r="F363" s="153"/>
      <c r="G363" s="153"/>
      <c r="H363" s="153"/>
      <c r="I363" s="153"/>
      <c r="J363" s="153"/>
      <c r="K363" s="153"/>
      <c r="L363" s="153"/>
      <c r="M363" s="153"/>
      <c r="N363" s="153"/>
      <c r="O363" s="153"/>
      <c r="P363" s="153"/>
      <c r="Q363" s="153"/>
      <c r="R363" s="153"/>
    </row>
    <row r="364" spans="1:18" ht="15">
      <c r="A364" s="150">
        <v>157400.01</v>
      </c>
      <c r="B364" s="150">
        <v>26311</v>
      </c>
      <c r="C364">
        <f t="shared" si="53"/>
        <v>189</v>
      </c>
      <c r="D364" s="153"/>
      <c r="E364" s="153"/>
      <c r="F364" s="153"/>
      <c r="G364" s="153"/>
      <c r="H364" s="153"/>
      <c r="I364" s="153"/>
      <c r="J364" s="153"/>
      <c r="K364" s="153"/>
      <c r="L364" s="153"/>
      <c r="M364" s="153"/>
      <c r="N364" s="153"/>
      <c r="O364" s="153"/>
      <c r="P364" s="153"/>
      <c r="Q364" s="153"/>
      <c r="R364" s="153"/>
    </row>
    <row r="365" spans="1:18" ht="15">
      <c r="A365" s="150">
        <v>157500.01</v>
      </c>
      <c r="B365" s="150">
        <v>26122</v>
      </c>
      <c r="C365">
        <f t="shared" si="53"/>
        <v>189</v>
      </c>
      <c r="D365" s="153"/>
      <c r="E365" s="153"/>
      <c r="F365" s="153"/>
      <c r="G365" s="153"/>
      <c r="H365" s="153"/>
      <c r="I365" s="153"/>
      <c r="J365" s="153"/>
      <c r="K365" s="153"/>
      <c r="L365" s="153"/>
      <c r="M365" s="153"/>
      <c r="N365" s="153"/>
      <c r="O365" s="153"/>
      <c r="P365" s="153"/>
      <c r="Q365" s="153"/>
      <c r="R365" s="153"/>
    </row>
    <row r="366" spans="1:18" ht="15">
      <c r="A366" s="150">
        <v>157600.01</v>
      </c>
      <c r="B366" s="150">
        <v>25933</v>
      </c>
      <c r="C366">
        <f t="shared" si="53"/>
        <v>189</v>
      </c>
      <c r="D366" s="153"/>
      <c r="E366" s="153"/>
      <c r="F366" s="153"/>
      <c r="G366" s="153"/>
      <c r="H366" s="153"/>
      <c r="I366" s="153"/>
      <c r="J366" s="153"/>
      <c r="K366" s="153"/>
      <c r="L366" s="153"/>
      <c r="M366" s="153"/>
      <c r="N366" s="153"/>
      <c r="O366" s="153"/>
      <c r="P366" s="153"/>
      <c r="Q366" s="153"/>
      <c r="R366" s="153"/>
    </row>
    <row r="367" spans="1:18" ht="15">
      <c r="A367" s="150">
        <v>157700.01</v>
      </c>
      <c r="B367" s="150">
        <v>25744</v>
      </c>
      <c r="C367">
        <f t="shared" si="53"/>
        <v>188</v>
      </c>
      <c r="D367" s="153"/>
      <c r="E367" s="153"/>
      <c r="F367" s="153"/>
      <c r="G367" s="153"/>
      <c r="H367" s="153"/>
      <c r="I367" s="153"/>
      <c r="J367" s="153"/>
      <c r="K367" s="153"/>
      <c r="L367" s="153"/>
      <c r="M367" s="153"/>
      <c r="N367" s="153"/>
      <c r="O367" s="153"/>
      <c r="P367" s="153"/>
      <c r="Q367" s="153"/>
      <c r="R367" s="153"/>
    </row>
    <row r="368" spans="1:18" ht="15">
      <c r="A368" s="150">
        <v>157800.01</v>
      </c>
      <c r="B368" s="150">
        <v>25556</v>
      </c>
      <c r="C368">
        <f t="shared" si="53"/>
        <v>188</v>
      </c>
      <c r="D368" s="153"/>
      <c r="E368" s="153"/>
      <c r="F368" s="153"/>
      <c r="G368" s="153"/>
      <c r="H368" s="153"/>
      <c r="I368" s="153"/>
      <c r="J368" s="153"/>
      <c r="K368" s="153"/>
      <c r="L368" s="153"/>
      <c r="M368" s="153"/>
      <c r="N368" s="153"/>
      <c r="O368" s="153"/>
      <c r="P368" s="153"/>
      <c r="Q368" s="153"/>
      <c r="R368" s="153"/>
    </row>
    <row r="369" spans="1:18" ht="15">
      <c r="A369" s="150">
        <v>157900.01</v>
      </c>
      <c r="B369" s="150">
        <v>25368</v>
      </c>
      <c r="C369">
        <f t="shared" si="53"/>
        <v>187</v>
      </c>
      <c r="D369" s="153"/>
      <c r="E369" s="153"/>
      <c r="F369" s="153"/>
      <c r="G369" s="153"/>
      <c r="H369" s="153"/>
      <c r="I369" s="153"/>
      <c r="J369" s="153"/>
      <c r="K369" s="153"/>
      <c r="L369" s="153"/>
      <c r="M369" s="153"/>
      <c r="N369" s="153"/>
      <c r="O369" s="153"/>
      <c r="P369" s="153"/>
      <c r="Q369" s="153"/>
      <c r="R369" s="153"/>
    </row>
    <row r="370" spans="1:18" ht="15">
      <c r="A370" s="150">
        <v>158000.01</v>
      </c>
      <c r="B370" s="150">
        <v>25181</v>
      </c>
      <c r="C370">
        <f t="shared" si="53"/>
        <v>187</v>
      </c>
      <c r="D370" s="153"/>
      <c r="E370" s="153"/>
      <c r="F370" s="153"/>
      <c r="G370" s="153"/>
      <c r="H370" s="153"/>
      <c r="I370" s="153"/>
      <c r="J370" s="153"/>
      <c r="K370" s="153"/>
      <c r="L370" s="153"/>
      <c r="M370" s="153"/>
      <c r="N370" s="153"/>
      <c r="O370" s="153"/>
      <c r="P370" s="153"/>
      <c r="Q370" s="153"/>
      <c r="R370" s="153"/>
    </row>
    <row r="371" spans="1:18" ht="15">
      <c r="A371" s="150">
        <v>158100.01</v>
      </c>
      <c r="B371" s="150">
        <v>24994</v>
      </c>
      <c r="C371">
        <f t="shared" si="53"/>
        <v>187</v>
      </c>
      <c r="D371" s="153"/>
      <c r="E371" s="153"/>
      <c r="F371" s="153"/>
      <c r="G371" s="153"/>
      <c r="H371" s="153"/>
      <c r="I371" s="153"/>
      <c r="J371" s="153"/>
      <c r="K371" s="153"/>
      <c r="L371" s="153"/>
      <c r="M371" s="153"/>
      <c r="N371" s="153"/>
      <c r="O371" s="153"/>
      <c r="P371" s="153"/>
      <c r="Q371" s="153"/>
      <c r="R371" s="153"/>
    </row>
    <row r="372" spans="1:18" ht="15">
      <c r="A372" s="150">
        <v>158200.01</v>
      </c>
      <c r="B372" s="150">
        <v>24807</v>
      </c>
      <c r="C372">
        <f t="shared" si="53"/>
        <v>186</v>
      </c>
      <c r="D372" s="153"/>
      <c r="E372" s="153"/>
      <c r="F372" s="153"/>
      <c r="G372" s="153"/>
      <c r="H372" s="153"/>
      <c r="I372" s="153"/>
      <c r="J372" s="153"/>
      <c r="K372" s="153"/>
      <c r="L372" s="153"/>
      <c r="M372" s="153"/>
      <c r="N372" s="153"/>
      <c r="O372" s="153"/>
      <c r="P372" s="153"/>
      <c r="Q372" s="153"/>
      <c r="R372" s="153"/>
    </row>
    <row r="373" spans="1:18" ht="15">
      <c r="A373" s="150">
        <v>158300.01</v>
      </c>
      <c r="B373" s="150">
        <v>24621</v>
      </c>
      <c r="C373">
        <f t="shared" si="53"/>
        <v>186</v>
      </c>
      <c r="D373" s="153"/>
      <c r="E373" s="153"/>
      <c r="F373" s="153"/>
      <c r="G373" s="153"/>
      <c r="H373" s="153"/>
      <c r="I373" s="153"/>
      <c r="J373" s="153"/>
      <c r="K373" s="153"/>
      <c r="L373" s="153"/>
      <c r="M373" s="153"/>
      <c r="N373" s="153"/>
      <c r="O373" s="153"/>
      <c r="P373" s="153"/>
      <c r="Q373" s="153"/>
      <c r="R373" s="153"/>
    </row>
    <row r="374" spans="1:18" ht="15">
      <c r="A374" s="150">
        <v>158400.01</v>
      </c>
      <c r="B374" s="150">
        <v>24435</v>
      </c>
      <c r="C374">
        <f t="shared" si="53"/>
        <v>186</v>
      </c>
      <c r="D374" s="153"/>
      <c r="E374" s="153"/>
      <c r="F374" s="153"/>
      <c r="G374" s="153"/>
      <c r="H374" s="153"/>
      <c r="I374" s="153"/>
      <c r="J374" s="153"/>
      <c r="K374" s="153"/>
      <c r="L374" s="153"/>
      <c r="M374" s="153"/>
      <c r="N374" s="153"/>
      <c r="O374" s="153"/>
      <c r="P374" s="153"/>
      <c r="Q374" s="153"/>
      <c r="R374" s="153"/>
    </row>
    <row r="375" spans="1:18" ht="15">
      <c r="A375" s="150">
        <v>158500.01</v>
      </c>
      <c r="B375" s="150">
        <v>24249</v>
      </c>
      <c r="C375">
        <f t="shared" si="53"/>
        <v>185</v>
      </c>
      <c r="D375" s="153"/>
      <c r="E375" s="153"/>
      <c r="F375" s="153"/>
      <c r="G375" s="153"/>
      <c r="H375" s="153"/>
      <c r="I375" s="153"/>
      <c r="J375" s="153"/>
      <c r="K375" s="153"/>
      <c r="L375" s="153"/>
      <c r="M375" s="153"/>
      <c r="N375" s="153"/>
      <c r="O375" s="153"/>
      <c r="P375" s="153"/>
      <c r="Q375" s="153"/>
      <c r="R375" s="153"/>
    </row>
    <row r="376" spans="1:18" ht="15">
      <c r="A376" s="150">
        <v>158600.01</v>
      </c>
      <c r="B376" s="150">
        <v>24064</v>
      </c>
      <c r="C376">
        <f t="shared" si="53"/>
        <v>185</v>
      </c>
      <c r="D376" s="153"/>
      <c r="E376" s="153"/>
      <c r="F376" s="153"/>
      <c r="G376" s="153"/>
      <c r="H376" s="153"/>
      <c r="I376" s="153"/>
      <c r="J376" s="153"/>
      <c r="K376" s="153"/>
      <c r="L376" s="153"/>
      <c r="M376" s="153"/>
      <c r="N376" s="153"/>
      <c r="O376" s="153"/>
      <c r="P376" s="153"/>
      <c r="Q376" s="153"/>
      <c r="R376" s="153"/>
    </row>
    <row r="377" spans="1:18" ht="15">
      <c r="A377" s="150">
        <v>158700.01</v>
      </c>
      <c r="B377" s="150">
        <v>23879</v>
      </c>
      <c r="C377">
        <f t="shared" si="53"/>
        <v>184</v>
      </c>
      <c r="D377" s="153"/>
      <c r="E377" s="153"/>
      <c r="F377" s="153"/>
      <c r="G377" s="153"/>
      <c r="H377" s="153"/>
      <c r="I377" s="153"/>
      <c r="J377" s="153"/>
      <c r="K377" s="153"/>
      <c r="L377" s="153"/>
      <c r="M377" s="153"/>
      <c r="N377" s="153"/>
      <c r="O377" s="153"/>
      <c r="P377" s="153"/>
      <c r="Q377" s="153"/>
      <c r="R377" s="153"/>
    </row>
    <row r="378" spans="1:18" ht="15">
      <c r="A378" s="150">
        <v>158800.01</v>
      </c>
      <c r="B378" s="150">
        <v>23695</v>
      </c>
      <c r="C378">
        <f t="shared" si="53"/>
        <v>184</v>
      </c>
      <c r="D378" s="153"/>
      <c r="E378" s="153"/>
      <c r="F378" s="153"/>
      <c r="G378" s="153"/>
      <c r="H378" s="153"/>
      <c r="I378" s="153"/>
      <c r="J378" s="153"/>
      <c r="K378" s="153"/>
      <c r="L378" s="153"/>
      <c r="M378" s="153"/>
      <c r="N378" s="153"/>
      <c r="O378" s="153"/>
      <c r="P378" s="153"/>
      <c r="Q378" s="153"/>
      <c r="R378" s="153"/>
    </row>
    <row r="379" spans="1:18" ht="15">
      <c r="A379" s="150">
        <v>158900.01</v>
      </c>
      <c r="B379" s="150">
        <v>23511</v>
      </c>
      <c r="C379">
        <f t="shared" si="53"/>
        <v>184</v>
      </c>
      <c r="D379" s="153"/>
      <c r="E379" s="153"/>
      <c r="F379" s="153"/>
      <c r="G379" s="153"/>
      <c r="H379" s="153"/>
      <c r="I379" s="153"/>
      <c r="J379" s="153"/>
      <c r="K379" s="153"/>
      <c r="L379" s="153"/>
      <c r="M379" s="153"/>
      <c r="N379" s="153"/>
      <c r="O379" s="153"/>
      <c r="P379" s="153"/>
      <c r="Q379" s="153"/>
      <c r="R379" s="153"/>
    </row>
    <row r="380" spans="1:18" ht="15">
      <c r="A380" s="150">
        <v>159000.01</v>
      </c>
      <c r="B380" s="150">
        <v>23327</v>
      </c>
      <c r="C380">
        <f t="shared" si="53"/>
        <v>184</v>
      </c>
      <c r="D380" s="153"/>
      <c r="E380" s="153"/>
      <c r="F380" s="153"/>
      <c r="G380" s="153"/>
      <c r="H380" s="153"/>
      <c r="I380" s="153"/>
      <c r="J380" s="153"/>
      <c r="K380" s="153"/>
      <c r="L380" s="153"/>
      <c r="M380" s="153"/>
      <c r="N380" s="153"/>
      <c r="O380" s="153"/>
      <c r="P380" s="153"/>
      <c r="Q380" s="153"/>
      <c r="R380" s="153"/>
    </row>
    <row r="381" spans="1:18" ht="15">
      <c r="A381" s="150">
        <v>159100.01</v>
      </c>
      <c r="B381" s="150">
        <v>23143</v>
      </c>
      <c r="C381">
        <f t="shared" si="53"/>
        <v>183</v>
      </c>
      <c r="D381" s="153"/>
      <c r="E381" s="153"/>
      <c r="F381" s="153"/>
      <c r="G381" s="153"/>
      <c r="H381" s="153"/>
      <c r="I381" s="153"/>
      <c r="J381" s="153"/>
      <c r="K381" s="153"/>
      <c r="L381" s="153"/>
      <c r="M381" s="153"/>
      <c r="N381" s="153"/>
      <c r="O381" s="153"/>
      <c r="P381" s="153"/>
      <c r="Q381" s="153"/>
      <c r="R381" s="153"/>
    </row>
    <row r="382" spans="1:18" ht="15">
      <c r="A382" s="150">
        <v>159200.01</v>
      </c>
      <c r="B382" s="150">
        <v>22960</v>
      </c>
      <c r="C382">
        <f t="shared" si="53"/>
        <v>182</v>
      </c>
      <c r="D382" s="153"/>
      <c r="E382" s="153"/>
      <c r="F382" s="153"/>
      <c r="G382" s="153"/>
      <c r="H382" s="153"/>
      <c r="I382" s="153"/>
      <c r="J382" s="153"/>
      <c r="K382" s="153"/>
      <c r="L382" s="153"/>
      <c r="M382" s="153"/>
      <c r="N382" s="153"/>
      <c r="O382" s="153"/>
      <c r="P382" s="153"/>
      <c r="Q382" s="153"/>
      <c r="R382" s="153"/>
    </row>
    <row r="383" spans="1:18" ht="15">
      <c r="A383" s="150">
        <v>159300.01</v>
      </c>
      <c r="B383" s="150">
        <v>22778</v>
      </c>
      <c r="C383">
        <f t="shared" si="53"/>
        <v>183</v>
      </c>
      <c r="D383" s="153"/>
      <c r="E383" s="153"/>
      <c r="F383" s="153"/>
      <c r="G383" s="153"/>
      <c r="H383" s="153"/>
      <c r="I383" s="153"/>
      <c r="J383" s="153"/>
      <c r="K383" s="153"/>
      <c r="L383" s="153"/>
      <c r="M383" s="153"/>
      <c r="N383" s="153"/>
      <c r="O383" s="153"/>
      <c r="P383" s="153"/>
      <c r="Q383" s="153"/>
      <c r="R383" s="153"/>
    </row>
    <row r="384" spans="1:18" ht="15">
      <c r="A384" s="150">
        <v>159400.01</v>
      </c>
      <c r="B384" s="150">
        <v>22595</v>
      </c>
      <c r="C384">
        <f t="shared" si="53"/>
        <v>182</v>
      </c>
      <c r="D384" s="153"/>
      <c r="E384" s="153"/>
      <c r="F384" s="153"/>
      <c r="G384" s="153"/>
      <c r="H384" s="153"/>
      <c r="I384" s="153"/>
      <c r="J384" s="153"/>
      <c r="K384" s="153"/>
      <c r="L384" s="153"/>
      <c r="M384" s="153"/>
      <c r="N384" s="153"/>
      <c r="O384" s="153"/>
      <c r="P384" s="153"/>
      <c r="Q384" s="153"/>
      <c r="R384" s="153"/>
    </row>
    <row r="385" spans="1:18" ht="15">
      <c r="A385" s="150">
        <v>159500.01</v>
      </c>
      <c r="B385" s="150">
        <v>22413</v>
      </c>
      <c r="C385">
        <f t="shared" si="53"/>
        <v>182</v>
      </c>
      <c r="D385" s="153"/>
      <c r="E385" s="153"/>
      <c r="F385" s="153"/>
      <c r="G385" s="153"/>
      <c r="H385" s="153"/>
      <c r="I385" s="153"/>
      <c r="J385" s="153"/>
      <c r="K385" s="153"/>
      <c r="L385" s="153"/>
      <c r="M385" s="153"/>
      <c r="N385" s="153"/>
      <c r="O385" s="153"/>
      <c r="P385" s="153"/>
      <c r="Q385" s="153"/>
      <c r="R385" s="153"/>
    </row>
    <row r="386" spans="1:18" ht="15">
      <c r="A386" s="150">
        <v>159600.01</v>
      </c>
      <c r="B386" s="150">
        <v>22231</v>
      </c>
      <c r="C386">
        <f t="shared" si="53"/>
        <v>181</v>
      </c>
      <c r="D386" s="153"/>
      <c r="E386" s="153"/>
      <c r="F386" s="153"/>
      <c r="G386" s="153"/>
      <c r="H386" s="153"/>
      <c r="I386" s="153"/>
      <c r="J386" s="153"/>
      <c r="K386" s="153"/>
      <c r="L386" s="153"/>
      <c r="M386" s="153"/>
      <c r="N386" s="153"/>
      <c r="O386" s="153"/>
      <c r="P386" s="153"/>
      <c r="Q386" s="153"/>
      <c r="R386" s="153"/>
    </row>
    <row r="387" spans="1:18" ht="15">
      <c r="A387" s="150">
        <v>159700.01</v>
      </c>
      <c r="B387" s="150">
        <v>22050</v>
      </c>
      <c r="C387">
        <f t="shared" si="53"/>
        <v>181</v>
      </c>
      <c r="D387" s="153"/>
      <c r="E387" s="153"/>
      <c r="F387" s="153"/>
      <c r="G387" s="153"/>
      <c r="H387" s="153"/>
      <c r="I387" s="153"/>
      <c r="J387" s="153"/>
      <c r="K387" s="153"/>
      <c r="L387" s="153"/>
      <c r="M387" s="153"/>
      <c r="N387" s="153"/>
      <c r="O387" s="153"/>
      <c r="P387" s="153"/>
      <c r="Q387" s="153"/>
      <c r="R387" s="153"/>
    </row>
    <row r="388" spans="1:18" ht="15">
      <c r="A388" s="150">
        <v>159800.01</v>
      </c>
      <c r="B388" s="150">
        <v>21869</v>
      </c>
      <c r="C388">
        <f t="shared" si="53"/>
        <v>181</v>
      </c>
      <c r="D388" s="153"/>
      <c r="E388" s="153"/>
      <c r="F388" s="153"/>
      <c r="G388" s="153"/>
      <c r="H388" s="153"/>
      <c r="I388" s="153"/>
      <c r="J388" s="153"/>
      <c r="K388" s="153"/>
      <c r="L388" s="153"/>
      <c r="M388" s="153"/>
      <c r="N388" s="153"/>
      <c r="O388" s="153"/>
      <c r="P388" s="153"/>
      <c r="Q388" s="153"/>
      <c r="R388" s="153"/>
    </row>
    <row r="389" spans="1:18" ht="15">
      <c r="A389" s="150">
        <v>159900.01</v>
      </c>
      <c r="B389" s="150">
        <v>21688</v>
      </c>
      <c r="C389">
        <f t="shared" si="53"/>
        <v>181</v>
      </c>
      <c r="D389" s="153"/>
      <c r="E389" s="153"/>
      <c r="F389" s="153"/>
      <c r="G389" s="153"/>
      <c r="H389" s="153"/>
      <c r="I389" s="153"/>
      <c r="J389" s="153"/>
      <c r="K389" s="153"/>
      <c r="L389" s="153"/>
      <c r="M389" s="153"/>
      <c r="N389" s="153"/>
      <c r="O389" s="153"/>
      <c r="P389" s="153"/>
      <c r="Q389" s="153"/>
      <c r="R389" s="153"/>
    </row>
    <row r="390" spans="1:18" ht="15">
      <c r="A390" s="150">
        <v>160000.01</v>
      </c>
      <c r="B390" s="150">
        <v>21507</v>
      </c>
      <c r="C390">
        <f t="shared" si="53"/>
        <v>180</v>
      </c>
      <c r="D390" s="153"/>
      <c r="E390" s="153"/>
      <c r="F390" s="153"/>
      <c r="G390" s="153"/>
      <c r="H390" s="153"/>
      <c r="I390" s="153"/>
      <c r="J390" s="153"/>
      <c r="K390" s="153"/>
      <c r="L390" s="153"/>
      <c r="M390" s="153"/>
      <c r="N390" s="153"/>
      <c r="O390" s="153"/>
      <c r="P390" s="153"/>
      <c r="Q390" s="153"/>
      <c r="R390" s="153"/>
    </row>
    <row r="391" spans="1:18" ht="15">
      <c r="A391" s="150">
        <v>160100.01</v>
      </c>
      <c r="B391" s="150">
        <v>21327</v>
      </c>
      <c r="C391">
        <f t="shared" si="53"/>
        <v>180</v>
      </c>
      <c r="D391" s="153"/>
      <c r="E391" s="153"/>
      <c r="F391" s="153"/>
      <c r="G391" s="153"/>
      <c r="H391" s="153"/>
      <c r="I391" s="153"/>
      <c r="J391" s="153"/>
      <c r="K391" s="153"/>
      <c r="L391" s="153"/>
      <c r="M391" s="153"/>
      <c r="N391" s="153"/>
      <c r="O391" s="153"/>
      <c r="P391" s="153"/>
      <c r="Q391" s="153"/>
      <c r="R391" s="153"/>
    </row>
    <row r="392" spans="1:18" ht="15">
      <c r="A392" s="150">
        <v>160200.01</v>
      </c>
      <c r="B392" s="150">
        <v>21147</v>
      </c>
      <c r="C392">
        <f t="shared" si="53"/>
        <v>179</v>
      </c>
      <c r="D392" s="153"/>
      <c r="E392" s="153"/>
      <c r="F392" s="153"/>
      <c r="G392" s="153"/>
      <c r="H392" s="153"/>
      <c r="I392" s="153"/>
      <c r="J392" s="153"/>
      <c r="K392" s="153"/>
      <c r="L392" s="153"/>
      <c r="M392" s="153"/>
      <c r="N392" s="153"/>
      <c r="O392" s="153"/>
      <c r="P392" s="153"/>
      <c r="Q392" s="153"/>
      <c r="R392" s="153"/>
    </row>
    <row r="393" spans="1:18" ht="15">
      <c r="A393" s="150">
        <v>160300.01</v>
      </c>
      <c r="B393" s="150">
        <v>20968</v>
      </c>
      <c r="C393">
        <f t="shared" si="53"/>
        <v>180</v>
      </c>
      <c r="D393" s="153"/>
      <c r="E393" s="153"/>
      <c r="F393" s="153"/>
      <c r="G393" s="153"/>
      <c r="H393" s="153"/>
      <c r="I393" s="153"/>
      <c r="J393" s="153"/>
      <c r="K393" s="153"/>
      <c r="L393" s="153"/>
      <c r="M393" s="153"/>
      <c r="N393" s="153"/>
      <c r="O393" s="153"/>
      <c r="P393" s="153"/>
      <c r="Q393" s="153"/>
      <c r="R393" s="153"/>
    </row>
    <row r="394" spans="1:18" ht="15">
      <c r="A394" s="150">
        <v>160400.01</v>
      </c>
      <c r="B394" s="150">
        <v>20788</v>
      </c>
      <c r="C394">
        <f t="shared" si="53"/>
        <v>179</v>
      </c>
      <c r="D394" s="153"/>
      <c r="E394" s="153"/>
      <c r="F394" s="153"/>
      <c r="G394" s="153"/>
      <c r="H394" s="153"/>
      <c r="I394" s="153"/>
      <c r="J394" s="153"/>
      <c r="K394" s="153"/>
      <c r="L394" s="153"/>
      <c r="M394" s="153"/>
      <c r="N394" s="153"/>
      <c r="O394" s="153"/>
      <c r="P394" s="153"/>
      <c r="Q394" s="153"/>
      <c r="R394" s="153"/>
    </row>
    <row r="395" spans="1:18" ht="15">
      <c r="A395" s="150">
        <v>160500.01</v>
      </c>
      <c r="B395" s="150">
        <v>20609</v>
      </c>
      <c r="C395">
        <f t="shared" si="53"/>
        <v>179</v>
      </c>
      <c r="D395" s="153"/>
      <c r="E395" s="153"/>
      <c r="F395" s="153"/>
      <c r="G395" s="153"/>
      <c r="H395" s="153"/>
      <c r="I395" s="153"/>
      <c r="J395" s="153"/>
      <c r="K395" s="153"/>
      <c r="L395" s="153"/>
      <c r="M395" s="153"/>
      <c r="N395" s="153"/>
      <c r="O395" s="153"/>
      <c r="P395" s="153"/>
      <c r="Q395" s="153"/>
      <c r="R395" s="153"/>
    </row>
    <row r="396" spans="1:18" ht="15">
      <c r="A396" s="150">
        <v>160600.01</v>
      </c>
      <c r="B396" s="150">
        <v>20430</v>
      </c>
      <c r="C396">
        <f t="shared" si="53"/>
        <v>178</v>
      </c>
      <c r="D396" s="153"/>
      <c r="E396" s="153"/>
      <c r="F396" s="153"/>
      <c r="G396" s="153"/>
      <c r="H396" s="153"/>
      <c r="I396" s="153"/>
      <c r="J396" s="153"/>
      <c r="K396" s="153"/>
      <c r="L396" s="153"/>
      <c r="M396" s="153"/>
      <c r="N396" s="153"/>
      <c r="O396" s="153"/>
      <c r="P396" s="153"/>
      <c r="Q396" s="153"/>
      <c r="R396" s="153"/>
    </row>
    <row r="397" spans="1:18" ht="15">
      <c r="A397" s="150">
        <v>160700.01</v>
      </c>
      <c r="B397" s="150">
        <v>20252</v>
      </c>
      <c r="C397">
        <f t="shared" si="53"/>
        <v>178</v>
      </c>
      <c r="D397" s="153"/>
      <c r="E397" s="153"/>
      <c r="F397" s="153"/>
      <c r="G397" s="153"/>
      <c r="H397" s="153"/>
      <c r="I397" s="153"/>
      <c r="J397" s="153"/>
      <c r="K397" s="153"/>
      <c r="L397" s="153"/>
      <c r="M397" s="153"/>
      <c r="N397" s="153"/>
      <c r="O397" s="153"/>
      <c r="P397" s="153"/>
      <c r="Q397" s="153"/>
      <c r="R397" s="153"/>
    </row>
    <row r="398" spans="1:18" ht="15">
      <c r="A398" s="150">
        <v>160800.01</v>
      </c>
      <c r="B398" s="150">
        <v>20074</v>
      </c>
      <c r="C398">
        <f t="shared" si="53"/>
        <v>178</v>
      </c>
      <c r="D398" s="153"/>
      <c r="E398" s="153"/>
      <c r="F398" s="153"/>
      <c r="G398" s="153"/>
      <c r="H398" s="153"/>
      <c r="I398" s="153"/>
      <c r="J398" s="153"/>
      <c r="K398" s="153"/>
      <c r="L398" s="153"/>
      <c r="M398" s="153"/>
      <c r="N398" s="153"/>
      <c r="O398" s="153"/>
      <c r="P398" s="153"/>
      <c r="Q398" s="153"/>
      <c r="R398" s="153"/>
    </row>
    <row r="399" spans="1:18" ht="15">
      <c r="A399" s="150">
        <v>160900.01</v>
      </c>
      <c r="B399" s="150">
        <v>19896</v>
      </c>
      <c r="C399">
        <f t="shared" si="53"/>
        <v>178</v>
      </c>
      <c r="D399" s="153"/>
      <c r="E399" s="153"/>
      <c r="F399" s="153"/>
      <c r="G399" s="153"/>
      <c r="H399" s="153"/>
      <c r="I399" s="153"/>
      <c r="J399" s="153"/>
      <c r="K399" s="153"/>
      <c r="L399" s="153"/>
      <c r="M399" s="153"/>
      <c r="N399" s="153"/>
      <c r="O399" s="153"/>
      <c r="P399" s="153"/>
      <c r="Q399" s="153"/>
      <c r="R399" s="153"/>
    </row>
    <row r="400" spans="1:18" ht="15">
      <c r="A400" s="150">
        <v>161000.01</v>
      </c>
      <c r="B400" s="150">
        <v>19718</v>
      </c>
      <c r="C400">
        <f t="shared" si="53"/>
        <v>177</v>
      </c>
      <c r="D400" s="153"/>
      <c r="E400" s="153"/>
      <c r="F400" s="153"/>
      <c r="G400" s="153"/>
      <c r="H400" s="153"/>
      <c r="I400" s="153"/>
      <c r="J400" s="153"/>
      <c r="K400" s="153"/>
      <c r="L400" s="153"/>
      <c r="M400" s="153"/>
      <c r="N400" s="153"/>
      <c r="O400" s="153"/>
      <c r="P400" s="153"/>
      <c r="Q400" s="153"/>
      <c r="R400" s="153"/>
    </row>
    <row r="401" spans="1:18" ht="15">
      <c r="A401" s="150">
        <v>161100.01</v>
      </c>
      <c r="B401" s="150">
        <v>19541</v>
      </c>
      <c r="C401">
        <f t="shared" si="53"/>
        <v>177</v>
      </c>
      <c r="D401" s="153"/>
      <c r="E401" s="153"/>
      <c r="F401" s="153"/>
      <c r="G401" s="153"/>
      <c r="H401" s="153"/>
      <c r="I401" s="153"/>
      <c r="J401" s="153"/>
      <c r="K401" s="153"/>
      <c r="L401" s="153"/>
      <c r="M401" s="153"/>
      <c r="N401" s="153"/>
      <c r="O401" s="153"/>
      <c r="P401" s="153"/>
      <c r="Q401" s="153"/>
      <c r="R401" s="153"/>
    </row>
    <row r="402" spans="1:18" ht="15">
      <c r="A402" s="150">
        <v>161200.01</v>
      </c>
      <c r="B402" s="150">
        <v>19364</v>
      </c>
      <c r="C402">
        <f t="shared" si="53"/>
        <v>177</v>
      </c>
      <c r="D402" s="153"/>
      <c r="E402" s="153"/>
      <c r="F402" s="153"/>
      <c r="G402" s="153"/>
      <c r="H402" s="153"/>
      <c r="I402" s="153"/>
      <c r="J402" s="153"/>
      <c r="K402" s="153"/>
      <c r="L402" s="153"/>
      <c r="M402" s="153"/>
      <c r="N402" s="153"/>
      <c r="O402" s="153"/>
      <c r="P402" s="153"/>
      <c r="Q402" s="153"/>
      <c r="R402" s="153"/>
    </row>
    <row r="403" spans="1:18" ht="15">
      <c r="A403" s="150">
        <v>161300.01</v>
      </c>
      <c r="B403" s="150">
        <v>19187</v>
      </c>
      <c r="C403">
        <f t="shared" si="53"/>
        <v>177</v>
      </c>
      <c r="D403" s="153"/>
      <c r="E403" s="153"/>
      <c r="F403" s="153"/>
      <c r="G403" s="153"/>
      <c r="H403" s="153"/>
      <c r="I403" s="153"/>
      <c r="J403" s="153"/>
      <c r="K403" s="153"/>
      <c r="L403" s="153"/>
      <c r="M403" s="153"/>
      <c r="N403" s="153"/>
      <c r="O403" s="153"/>
      <c r="P403" s="153"/>
      <c r="Q403" s="153"/>
      <c r="R403" s="153"/>
    </row>
    <row r="404" spans="1:18" ht="15">
      <c r="A404" s="150">
        <v>161400.01</v>
      </c>
      <c r="B404" s="150">
        <v>19010</v>
      </c>
      <c r="C404">
        <f t="shared" si="53"/>
        <v>176</v>
      </c>
      <c r="D404" s="153"/>
      <c r="E404" s="153"/>
      <c r="F404" s="153"/>
      <c r="G404" s="153"/>
      <c r="H404" s="153"/>
      <c r="I404" s="153"/>
      <c r="J404" s="153"/>
      <c r="K404" s="153"/>
      <c r="L404" s="153"/>
      <c r="M404" s="153"/>
      <c r="N404" s="153"/>
      <c r="O404" s="153"/>
      <c r="P404" s="153"/>
      <c r="Q404" s="153"/>
      <c r="R404" s="153"/>
    </row>
    <row r="405" spans="1:18" ht="15">
      <c r="A405" s="150">
        <v>161500.01</v>
      </c>
      <c r="B405" s="150">
        <v>18834</v>
      </c>
      <c r="C405">
        <f t="shared" si="53"/>
        <v>176</v>
      </c>
      <c r="D405" s="153"/>
      <c r="E405" s="153"/>
      <c r="F405" s="153"/>
      <c r="G405" s="153"/>
      <c r="H405" s="153"/>
      <c r="I405" s="153"/>
      <c r="J405" s="153"/>
      <c r="K405" s="153"/>
      <c r="L405" s="153"/>
      <c r="M405" s="153"/>
      <c r="N405" s="153"/>
      <c r="O405" s="153"/>
      <c r="P405" s="153"/>
      <c r="Q405" s="153"/>
      <c r="R405" s="153"/>
    </row>
    <row r="406" spans="1:18" ht="15">
      <c r="A406" s="150">
        <v>161600.01</v>
      </c>
      <c r="B406" s="150">
        <v>18658</v>
      </c>
      <c r="C406">
        <f t="shared" si="53"/>
        <v>176</v>
      </c>
      <c r="D406" s="153"/>
      <c r="E406" s="153"/>
      <c r="F406" s="153"/>
      <c r="G406" s="153"/>
      <c r="H406" s="153"/>
      <c r="I406" s="153"/>
      <c r="J406" s="153"/>
      <c r="K406" s="153"/>
      <c r="L406" s="153"/>
      <c r="M406" s="153"/>
      <c r="N406" s="153"/>
      <c r="O406" s="153"/>
      <c r="P406" s="153"/>
      <c r="Q406" s="153"/>
      <c r="R406" s="153"/>
    </row>
    <row r="407" spans="1:18" ht="15">
      <c r="A407" s="150">
        <v>161700.01</v>
      </c>
      <c r="B407" s="150">
        <v>18482</v>
      </c>
      <c r="C407">
        <f t="shared" si="53"/>
        <v>175</v>
      </c>
      <c r="D407" s="153"/>
      <c r="E407" s="153"/>
      <c r="F407" s="153"/>
      <c r="G407" s="153"/>
      <c r="H407" s="153"/>
      <c r="I407" s="153"/>
      <c r="J407" s="153"/>
      <c r="K407" s="153"/>
      <c r="L407" s="153"/>
      <c r="M407" s="153"/>
      <c r="N407" s="153"/>
      <c r="O407" s="153"/>
      <c r="P407" s="153"/>
      <c r="Q407" s="153"/>
      <c r="R407" s="153"/>
    </row>
    <row r="408" spans="1:18" ht="15">
      <c r="A408" s="150">
        <v>161800.01</v>
      </c>
      <c r="B408" s="150">
        <v>18307</v>
      </c>
      <c r="C408">
        <f t="shared" si="53"/>
        <v>175</v>
      </c>
      <c r="D408" s="153"/>
      <c r="E408" s="153"/>
      <c r="F408" s="153"/>
      <c r="G408" s="153"/>
      <c r="H408" s="153"/>
      <c r="I408" s="153"/>
      <c r="J408" s="153"/>
      <c r="K408" s="153"/>
      <c r="L408" s="153"/>
      <c r="M408" s="153"/>
      <c r="N408" s="153"/>
      <c r="O408" s="153"/>
      <c r="P408" s="153"/>
      <c r="Q408" s="153"/>
      <c r="R408" s="153"/>
    </row>
    <row r="409" spans="1:18" ht="15">
      <c r="A409" s="150">
        <v>161900.01</v>
      </c>
      <c r="B409" s="150">
        <v>18132</v>
      </c>
      <c r="C409">
        <f t="shared" si="53"/>
        <v>175</v>
      </c>
      <c r="D409" s="153"/>
      <c r="E409" s="153"/>
      <c r="F409" s="153"/>
      <c r="G409" s="153"/>
      <c r="H409" s="153"/>
      <c r="I409" s="153"/>
      <c r="J409" s="153"/>
      <c r="K409" s="153"/>
      <c r="L409" s="153"/>
      <c r="M409" s="153"/>
      <c r="N409" s="153"/>
      <c r="O409" s="153"/>
      <c r="P409" s="153"/>
      <c r="Q409" s="153"/>
      <c r="R409" s="153"/>
    </row>
    <row r="410" spans="1:18" ht="15">
      <c r="A410" s="150">
        <v>162000.01</v>
      </c>
      <c r="B410" s="150">
        <v>17957</v>
      </c>
      <c r="C410">
        <f t="shared" si="53"/>
        <v>175</v>
      </c>
      <c r="D410" s="153"/>
      <c r="E410" s="153"/>
      <c r="F410" s="153"/>
      <c r="G410" s="153"/>
      <c r="H410" s="153"/>
      <c r="I410" s="153"/>
      <c r="J410" s="153"/>
      <c r="K410" s="153"/>
      <c r="L410" s="153"/>
      <c r="M410" s="153"/>
      <c r="N410" s="153"/>
      <c r="O410" s="153"/>
      <c r="P410" s="153"/>
      <c r="Q410" s="153"/>
      <c r="R410" s="153"/>
    </row>
    <row r="411" spans="1:18" ht="15">
      <c r="A411" s="150">
        <v>162100.01</v>
      </c>
      <c r="B411" s="150">
        <v>17782</v>
      </c>
      <c r="C411">
        <f t="shared" si="53"/>
        <v>175</v>
      </c>
      <c r="D411" s="153"/>
      <c r="E411" s="153"/>
      <c r="F411" s="153"/>
      <c r="G411" s="153"/>
      <c r="H411" s="153"/>
      <c r="I411" s="153"/>
      <c r="J411" s="153"/>
      <c r="K411" s="153"/>
      <c r="L411" s="153"/>
      <c r="M411" s="153"/>
      <c r="N411" s="153"/>
      <c r="O411" s="153"/>
      <c r="P411" s="153"/>
      <c r="Q411" s="153"/>
      <c r="R411" s="153"/>
    </row>
    <row r="412" spans="1:18" ht="15">
      <c r="A412" s="150">
        <v>162200.01</v>
      </c>
      <c r="B412" s="150">
        <v>17607</v>
      </c>
      <c r="C412">
        <f t="shared" si="53"/>
        <v>174</v>
      </c>
      <c r="D412" s="153"/>
      <c r="E412" s="153"/>
      <c r="F412" s="153"/>
      <c r="G412" s="153"/>
      <c r="H412" s="153"/>
      <c r="I412" s="153"/>
      <c r="J412" s="153"/>
      <c r="K412" s="153"/>
      <c r="L412" s="153"/>
      <c r="M412" s="153"/>
      <c r="N412" s="153"/>
      <c r="O412" s="153"/>
      <c r="P412" s="153"/>
      <c r="Q412" s="153"/>
      <c r="R412" s="153"/>
    </row>
    <row r="413" spans="1:18" ht="15">
      <c r="A413" s="150">
        <v>162300.01</v>
      </c>
      <c r="B413" s="150">
        <v>17433</v>
      </c>
      <c r="C413">
        <f t="shared" si="53"/>
        <v>174</v>
      </c>
      <c r="D413" s="153"/>
      <c r="E413" s="153"/>
      <c r="F413" s="153"/>
      <c r="G413" s="153"/>
      <c r="H413" s="153"/>
      <c r="I413" s="153"/>
      <c r="J413" s="153"/>
      <c r="K413" s="153"/>
      <c r="L413" s="153"/>
      <c r="M413" s="153"/>
      <c r="N413" s="153"/>
      <c r="O413" s="153"/>
      <c r="P413" s="153"/>
      <c r="Q413" s="153"/>
      <c r="R413" s="153"/>
    </row>
    <row r="414" spans="1:18" ht="15">
      <c r="A414" s="150">
        <v>162400.01</v>
      </c>
      <c r="B414" s="150">
        <v>17259</v>
      </c>
      <c r="C414">
        <f t="shared" si="53"/>
        <v>174</v>
      </c>
      <c r="D414" s="153"/>
      <c r="E414" s="153"/>
      <c r="F414" s="153"/>
      <c r="G414" s="153"/>
      <c r="H414" s="153"/>
      <c r="I414" s="153"/>
      <c r="J414" s="153"/>
      <c r="K414" s="153"/>
      <c r="L414" s="153"/>
      <c r="M414" s="153"/>
      <c r="N414" s="153"/>
      <c r="O414" s="153"/>
      <c r="P414" s="153"/>
      <c r="Q414" s="153"/>
      <c r="R414" s="153"/>
    </row>
    <row r="415" spans="1:18" ht="15">
      <c r="A415" s="150">
        <v>162500.01</v>
      </c>
      <c r="B415" s="150">
        <v>17085</v>
      </c>
      <c r="C415">
        <f t="shared" si="53"/>
        <v>174</v>
      </c>
      <c r="D415" s="153"/>
      <c r="E415" s="153"/>
      <c r="F415" s="153"/>
      <c r="G415" s="153"/>
      <c r="H415" s="153"/>
      <c r="I415" s="153"/>
      <c r="J415" s="153"/>
      <c r="K415" s="153"/>
      <c r="L415" s="153"/>
      <c r="M415" s="153"/>
      <c r="N415" s="153"/>
      <c r="O415" s="153"/>
      <c r="P415" s="153"/>
      <c r="Q415" s="153"/>
      <c r="R415" s="153"/>
    </row>
    <row r="416" spans="1:18" ht="15">
      <c r="A416" s="150">
        <v>162600.01</v>
      </c>
      <c r="B416" s="150">
        <v>16911</v>
      </c>
      <c r="C416">
        <f t="shared" si="53"/>
        <v>173</v>
      </c>
      <c r="D416" s="153"/>
      <c r="E416" s="153"/>
      <c r="F416" s="153"/>
      <c r="G416" s="153"/>
      <c r="H416" s="153"/>
      <c r="I416" s="153"/>
      <c r="J416" s="153"/>
      <c r="K416" s="153"/>
      <c r="L416" s="153"/>
      <c r="M416" s="153"/>
      <c r="N416" s="153"/>
      <c r="O416" s="153"/>
      <c r="P416" s="153"/>
      <c r="Q416" s="153"/>
      <c r="R416" s="153"/>
    </row>
    <row r="417" spans="1:18" ht="15">
      <c r="A417" s="150">
        <v>162700.01</v>
      </c>
      <c r="B417" s="150">
        <v>16738</v>
      </c>
      <c r="C417">
        <f t="shared" si="53"/>
        <v>173</v>
      </c>
      <c r="D417" s="153"/>
      <c r="E417" s="153"/>
      <c r="F417" s="153"/>
      <c r="G417" s="153"/>
      <c r="H417" s="153"/>
      <c r="I417" s="153"/>
      <c r="J417" s="153"/>
      <c r="K417" s="153"/>
      <c r="L417" s="153"/>
      <c r="M417" s="153"/>
      <c r="N417" s="153"/>
      <c r="O417" s="153"/>
      <c r="P417" s="153"/>
      <c r="Q417" s="153"/>
      <c r="R417" s="153"/>
    </row>
    <row r="418" spans="1:18" ht="15">
      <c r="A418" s="150">
        <v>162800.01</v>
      </c>
      <c r="B418" s="150">
        <v>16565</v>
      </c>
      <c r="C418">
        <f aca="true" t="shared" si="54" ref="C418:C481">+B418-B419</f>
        <v>173</v>
      </c>
      <c r="D418" s="153"/>
      <c r="E418" s="153"/>
      <c r="F418" s="153"/>
      <c r="G418" s="153"/>
      <c r="H418" s="153"/>
      <c r="I418" s="153"/>
      <c r="J418" s="153"/>
      <c r="K418" s="153"/>
      <c r="L418" s="153"/>
      <c r="M418" s="153"/>
      <c r="N418" s="153"/>
      <c r="O418" s="153"/>
      <c r="P418" s="153"/>
      <c r="Q418" s="153"/>
      <c r="R418" s="153"/>
    </row>
    <row r="419" spans="1:18" ht="15">
      <c r="A419" s="150">
        <v>162900.01</v>
      </c>
      <c r="B419" s="150">
        <v>16392</v>
      </c>
      <c r="C419">
        <f t="shared" si="54"/>
        <v>173</v>
      </c>
      <c r="D419" s="153"/>
      <c r="E419" s="153"/>
      <c r="F419" s="153"/>
      <c r="G419" s="153"/>
      <c r="H419" s="153"/>
      <c r="I419" s="153"/>
      <c r="J419" s="153"/>
      <c r="K419" s="153"/>
      <c r="L419" s="153"/>
      <c r="M419" s="153"/>
      <c r="N419" s="153"/>
      <c r="O419" s="153"/>
      <c r="P419" s="153"/>
      <c r="Q419" s="153"/>
      <c r="R419" s="153"/>
    </row>
    <row r="420" spans="1:18" ht="15">
      <c r="A420" s="150">
        <v>163000.01</v>
      </c>
      <c r="B420" s="150">
        <v>16219</v>
      </c>
      <c r="C420">
        <f t="shared" si="54"/>
        <v>172</v>
      </c>
      <c r="D420" s="153"/>
      <c r="E420" s="153"/>
      <c r="F420" s="153"/>
      <c r="G420" s="153"/>
      <c r="H420" s="153"/>
      <c r="I420" s="153"/>
      <c r="J420" s="153"/>
      <c r="K420" s="153"/>
      <c r="L420" s="153"/>
      <c r="M420" s="153"/>
      <c r="N420" s="153"/>
      <c r="O420" s="153"/>
      <c r="P420" s="153"/>
      <c r="Q420" s="153"/>
      <c r="R420" s="153"/>
    </row>
    <row r="421" spans="1:18" ht="15">
      <c r="A421" s="150">
        <v>163100.01</v>
      </c>
      <c r="B421" s="150">
        <v>16047</v>
      </c>
      <c r="C421">
        <f t="shared" si="54"/>
        <v>172</v>
      </c>
      <c r="D421" s="153"/>
      <c r="E421" s="153"/>
      <c r="F421" s="153"/>
      <c r="G421" s="153"/>
      <c r="H421" s="153"/>
      <c r="I421" s="153"/>
      <c r="J421" s="153"/>
      <c r="K421" s="153"/>
      <c r="L421" s="153"/>
      <c r="M421" s="153"/>
      <c r="N421" s="153"/>
      <c r="O421" s="153"/>
      <c r="P421" s="153"/>
      <c r="Q421" s="153"/>
      <c r="R421" s="153"/>
    </row>
    <row r="422" spans="1:18" ht="15">
      <c r="A422" s="150">
        <v>163200.01</v>
      </c>
      <c r="B422" s="150">
        <v>15875</v>
      </c>
      <c r="C422">
        <f t="shared" si="54"/>
        <v>172</v>
      </c>
      <c r="D422" s="153"/>
      <c r="E422" s="153"/>
      <c r="F422" s="153"/>
      <c r="G422" s="153"/>
      <c r="H422" s="153"/>
      <c r="I422" s="153"/>
      <c r="J422" s="153"/>
      <c r="K422" s="153"/>
      <c r="L422" s="153"/>
      <c r="M422" s="153"/>
      <c r="N422" s="153"/>
      <c r="O422" s="153"/>
      <c r="P422" s="153"/>
      <c r="Q422" s="153"/>
      <c r="R422" s="153"/>
    </row>
    <row r="423" spans="1:18" ht="15">
      <c r="A423" s="150">
        <v>163300.01</v>
      </c>
      <c r="B423" s="150">
        <v>15703</v>
      </c>
      <c r="C423">
        <f t="shared" si="54"/>
        <v>172</v>
      </c>
      <c r="D423" s="153"/>
      <c r="E423" s="153"/>
      <c r="F423" s="153"/>
      <c r="G423" s="153"/>
      <c r="H423" s="153"/>
      <c r="I423" s="153"/>
      <c r="J423" s="153"/>
      <c r="K423" s="153"/>
      <c r="L423" s="153"/>
      <c r="M423" s="153"/>
      <c r="N423" s="153"/>
      <c r="O423" s="153"/>
      <c r="P423" s="153"/>
      <c r="Q423" s="153"/>
      <c r="R423" s="153"/>
    </row>
    <row r="424" spans="1:18" ht="15">
      <c r="A424" s="150">
        <v>163400.01</v>
      </c>
      <c r="B424" s="150">
        <v>15531</v>
      </c>
      <c r="C424">
        <f t="shared" si="54"/>
        <v>172</v>
      </c>
      <c r="D424" s="153"/>
      <c r="E424" s="153"/>
      <c r="F424" s="153"/>
      <c r="G424" s="153"/>
      <c r="H424" s="153"/>
      <c r="I424" s="153"/>
      <c r="J424" s="153"/>
      <c r="K424" s="153"/>
      <c r="L424" s="153"/>
      <c r="M424" s="153"/>
      <c r="N424" s="153"/>
      <c r="O424" s="153"/>
      <c r="P424" s="153"/>
      <c r="Q424" s="153"/>
      <c r="R424" s="153"/>
    </row>
    <row r="425" spans="1:18" ht="15">
      <c r="A425" s="150">
        <v>163500.01</v>
      </c>
      <c r="B425" s="150">
        <v>15359</v>
      </c>
      <c r="C425">
        <f t="shared" si="54"/>
        <v>171</v>
      </c>
      <c r="D425" s="153"/>
      <c r="E425" s="153"/>
      <c r="F425" s="153"/>
      <c r="G425" s="153"/>
      <c r="H425" s="153"/>
      <c r="I425" s="153"/>
      <c r="J425" s="153"/>
      <c r="K425" s="153"/>
      <c r="L425" s="153"/>
      <c r="M425" s="153"/>
      <c r="N425" s="153"/>
      <c r="O425" s="153"/>
      <c r="P425" s="153"/>
      <c r="Q425" s="153"/>
      <c r="R425" s="153"/>
    </row>
    <row r="426" spans="1:18" ht="15">
      <c r="A426" s="150">
        <v>163600.01</v>
      </c>
      <c r="B426" s="150">
        <v>15188</v>
      </c>
      <c r="C426">
        <f t="shared" si="54"/>
        <v>171</v>
      </c>
      <c r="D426" s="153"/>
      <c r="E426" s="153"/>
      <c r="F426" s="153"/>
      <c r="G426" s="153"/>
      <c r="H426" s="153"/>
      <c r="I426" s="153"/>
      <c r="J426" s="153"/>
      <c r="K426" s="153"/>
      <c r="L426" s="153"/>
      <c r="M426" s="153"/>
      <c r="N426" s="153"/>
      <c r="O426" s="153"/>
      <c r="P426" s="153"/>
      <c r="Q426" s="153"/>
      <c r="R426" s="153"/>
    </row>
    <row r="427" spans="1:18" ht="15">
      <c r="A427" s="150">
        <v>163700.01</v>
      </c>
      <c r="B427" s="150">
        <v>15017</v>
      </c>
      <c r="C427">
        <f t="shared" si="54"/>
        <v>171</v>
      </c>
      <c r="D427" s="153"/>
      <c r="E427" s="153"/>
      <c r="F427" s="153"/>
      <c r="G427" s="153"/>
      <c r="H427" s="153"/>
      <c r="I427" s="153"/>
      <c r="J427" s="153"/>
      <c r="K427" s="153"/>
      <c r="L427" s="153"/>
      <c r="M427" s="153"/>
      <c r="N427" s="153"/>
      <c r="O427" s="153"/>
      <c r="P427" s="153"/>
      <c r="Q427" s="153"/>
      <c r="R427" s="153"/>
    </row>
    <row r="428" spans="1:18" ht="15">
      <c r="A428" s="150">
        <v>163800.01</v>
      </c>
      <c r="B428" s="150">
        <v>14846</v>
      </c>
      <c r="C428">
        <f t="shared" si="54"/>
        <v>171</v>
      </c>
      <c r="D428" s="153"/>
      <c r="E428" s="153"/>
      <c r="F428" s="153"/>
      <c r="G428" s="153"/>
      <c r="H428" s="153"/>
      <c r="I428" s="153"/>
      <c r="J428" s="153"/>
      <c r="K428" s="153"/>
      <c r="L428" s="153"/>
      <c r="M428" s="153"/>
      <c r="N428" s="153"/>
      <c r="O428" s="153"/>
      <c r="P428" s="153"/>
      <c r="Q428" s="153"/>
      <c r="R428" s="153"/>
    </row>
    <row r="429" spans="1:18" ht="15">
      <c r="A429" s="150">
        <v>163900.01</v>
      </c>
      <c r="B429" s="150">
        <v>14675</v>
      </c>
      <c r="C429">
        <f t="shared" si="54"/>
        <v>170</v>
      </c>
      <c r="D429" s="153"/>
      <c r="E429" s="153"/>
      <c r="F429" s="153"/>
      <c r="G429" s="153"/>
      <c r="H429" s="153"/>
      <c r="I429" s="153"/>
      <c r="J429" s="153"/>
      <c r="K429" s="153"/>
      <c r="L429" s="153"/>
      <c r="M429" s="153"/>
      <c r="N429" s="153"/>
      <c r="O429" s="153"/>
      <c r="P429" s="153"/>
      <c r="Q429" s="153"/>
      <c r="R429" s="153"/>
    </row>
    <row r="430" spans="1:18" ht="15">
      <c r="A430" s="150">
        <v>164000.01</v>
      </c>
      <c r="B430" s="150">
        <v>14505</v>
      </c>
      <c r="C430">
        <f t="shared" si="54"/>
        <v>171</v>
      </c>
      <c r="D430" s="153"/>
      <c r="E430" s="153"/>
      <c r="F430" s="153"/>
      <c r="G430" s="153"/>
      <c r="H430" s="153"/>
      <c r="I430" s="153"/>
      <c r="J430" s="153"/>
      <c r="K430" s="153"/>
      <c r="L430" s="153"/>
      <c r="M430" s="153"/>
      <c r="N430" s="153"/>
      <c r="O430" s="153"/>
      <c r="P430" s="153"/>
      <c r="Q430" s="153"/>
      <c r="R430" s="153"/>
    </row>
    <row r="431" spans="1:18" ht="15">
      <c r="A431" s="150">
        <v>164100.01</v>
      </c>
      <c r="B431" s="150">
        <v>14334</v>
      </c>
      <c r="C431">
        <f t="shared" si="54"/>
        <v>170</v>
      </c>
      <c r="D431" s="153"/>
      <c r="E431" s="153"/>
      <c r="F431" s="153"/>
      <c r="G431" s="153"/>
      <c r="H431" s="153"/>
      <c r="I431" s="153"/>
      <c r="J431" s="153"/>
      <c r="K431" s="153"/>
      <c r="L431" s="153"/>
      <c r="M431" s="153"/>
      <c r="N431" s="153"/>
      <c r="O431" s="153"/>
      <c r="P431" s="153"/>
      <c r="Q431" s="153"/>
      <c r="R431" s="153"/>
    </row>
    <row r="432" spans="1:18" ht="15">
      <c r="A432" s="150">
        <v>164200.01</v>
      </c>
      <c r="B432" s="150">
        <v>14164</v>
      </c>
      <c r="C432">
        <f t="shared" si="54"/>
        <v>170</v>
      </c>
      <c r="D432" s="153"/>
      <c r="E432" s="153"/>
      <c r="F432" s="153"/>
      <c r="G432" s="153"/>
      <c r="H432" s="153"/>
      <c r="I432" s="153"/>
      <c r="J432" s="153"/>
      <c r="K432" s="153"/>
      <c r="L432" s="153"/>
      <c r="M432" s="153"/>
      <c r="N432" s="153"/>
      <c r="O432" s="153"/>
      <c r="P432" s="153"/>
      <c r="Q432" s="153"/>
      <c r="R432" s="153"/>
    </row>
    <row r="433" spans="1:18" ht="15">
      <c r="A433" s="150">
        <v>164300.01</v>
      </c>
      <c r="B433" s="150">
        <v>13994</v>
      </c>
      <c r="C433">
        <f t="shared" si="54"/>
        <v>170</v>
      </c>
      <c r="D433" s="153"/>
      <c r="E433" s="153"/>
      <c r="F433" s="153"/>
      <c r="G433" s="153"/>
      <c r="H433" s="153"/>
      <c r="I433" s="153"/>
      <c r="J433" s="153"/>
      <c r="K433" s="153"/>
      <c r="L433" s="153"/>
      <c r="M433" s="153"/>
      <c r="N433" s="153"/>
      <c r="O433" s="153"/>
      <c r="P433" s="153"/>
      <c r="Q433" s="153"/>
      <c r="R433" s="153"/>
    </row>
    <row r="434" spans="1:18" ht="15">
      <c r="A434" s="150">
        <v>164400.01</v>
      </c>
      <c r="B434" s="150">
        <v>13824</v>
      </c>
      <c r="C434">
        <f t="shared" si="54"/>
        <v>169</v>
      </c>
      <c r="D434" s="153"/>
      <c r="E434" s="153"/>
      <c r="F434" s="153"/>
      <c r="G434" s="153"/>
      <c r="H434" s="153"/>
      <c r="I434" s="153"/>
      <c r="J434" s="153"/>
      <c r="K434" s="153"/>
      <c r="L434" s="153"/>
      <c r="M434" s="153"/>
      <c r="N434" s="153"/>
      <c r="O434" s="153"/>
      <c r="P434" s="153"/>
      <c r="Q434" s="153"/>
      <c r="R434" s="153"/>
    </row>
    <row r="435" spans="1:18" ht="15">
      <c r="A435" s="150">
        <v>164500.01</v>
      </c>
      <c r="B435" s="150">
        <v>13655</v>
      </c>
      <c r="C435">
        <f t="shared" si="54"/>
        <v>169</v>
      </c>
      <c r="D435" s="153"/>
      <c r="E435" s="153"/>
      <c r="F435" s="153"/>
      <c r="G435" s="153"/>
      <c r="H435" s="153"/>
      <c r="I435" s="153"/>
      <c r="J435" s="153"/>
      <c r="K435" s="153"/>
      <c r="L435" s="153"/>
      <c r="M435" s="153"/>
      <c r="N435" s="153"/>
      <c r="O435" s="153"/>
      <c r="P435" s="153"/>
      <c r="Q435" s="153"/>
      <c r="R435" s="153"/>
    </row>
    <row r="436" spans="1:18" ht="15">
      <c r="A436" s="150">
        <v>164600.01</v>
      </c>
      <c r="B436" s="150">
        <v>13486</v>
      </c>
      <c r="C436">
        <f t="shared" si="54"/>
        <v>169</v>
      </c>
      <c r="D436" s="153"/>
      <c r="E436" s="153"/>
      <c r="F436" s="153"/>
      <c r="G436" s="153"/>
      <c r="H436" s="153"/>
      <c r="I436" s="153"/>
      <c r="J436" s="153"/>
      <c r="K436" s="153"/>
      <c r="L436" s="153"/>
      <c r="M436" s="153"/>
      <c r="N436" s="153"/>
      <c r="O436" s="153"/>
      <c r="P436" s="153"/>
      <c r="Q436" s="153"/>
      <c r="R436" s="153"/>
    </row>
    <row r="437" spans="1:18" ht="15">
      <c r="A437" s="150">
        <v>164700.01</v>
      </c>
      <c r="B437" s="150">
        <v>13317</v>
      </c>
      <c r="C437">
        <f t="shared" si="54"/>
        <v>169</v>
      </c>
      <c r="D437" s="153"/>
      <c r="E437" s="153"/>
      <c r="F437" s="153"/>
      <c r="G437" s="153"/>
      <c r="H437" s="153"/>
      <c r="I437" s="153"/>
      <c r="J437" s="153"/>
      <c r="K437" s="153"/>
      <c r="L437" s="153"/>
      <c r="M437" s="153"/>
      <c r="N437" s="153"/>
      <c r="O437" s="153"/>
      <c r="P437" s="153"/>
      <c r="Q437" s="153"/>
      <c r="R437" s="153"/>
    </row>
    <row r="438" spans="1:18" ht="15">
      <c r="A438" s="150">
        <v>164800.01</v>
      </c>
      <c r="B438" s="150">
        <v>13148</v>
      </c>
      <c r="C438">
        <f t="shared" si="54"/>
        <v>169</v>
      </c>
      <c r="D438" s="153"/>
      <c r="E438" s="153"/>
      <c r="F438" s="153"/>
      <c r="G438" s="153"/>
      <c r="H438" s="153"/>
      <c r="I438" s="153"/>
      <c r="J438" s="153"/>
      <c r="K438" s="153"/>
      <c r="L438" s="153"/>
      <c r="M438" s="153"/>
      <c r="N438" s="153"/>
      <c r="O438" s="153"/>
      <c r="P438" s="153"/>
      <c r="Q438" s="153"/>
      <c r="R438" s="153"/>
    </row>
    <row r="439" spans="1:18" ht="15">
      <c r="A439" s="150">
        <v>164900.01</v>
      </c>
      <c r="B439" s="150">
        <v>12979</v>
      </c>
      <c r="C439">
        <f t="shared" si="54"/>
        <v>169</v>
      </c>
      <c r="D439" s="153"/>
      <c r="E439" s="153"/>
      <c r="F439" s="153"/>
      <c r="G439" s="153"/>
      <c r="H439" s="153"/>
      <c r="I439" s="153"/>
      <c r="J439" s="153"/>
      <c r="K439" s="153"/>
      <c r="L439" s="153"/>
      <c r="M439" s="153"/>
      <c r="N439" s="153"/>
      <c r="O439" s="153"/>
      <c r="P439" s="153"/>
      <c r="Q439" s="153"/>
      <c r="R439" s="153"/>
    </row>
    <row r="440" spans="1:18" ht="15">
      <c r="A440" s="150">
        <v>165000.01</v>
      </c>
      <c r="B440" s="150">
        <v>12810</v>
      </c>
      <c r="C440">
        <f t="shared" si="54"/>
        <v>168</v>
      </c>
      <c r="D440" s="153"/>
      <c r="E440" s="153"/>
      <c r="F440" s="153"/>
      <c r="G440" s="153"/>
      <c r="H440" s="153"/>
      <c r="I440" s="153"/>
      <c r="J440" s="153"/>
      <c r="K440" s="153"/>
      <c r="L440" s="153"/>
      <c r="M440" s="153"/>
      <c r="N440" s="153"/>
      <c r="O440" s="153"/>
      <c r="P440" s="153"/>
      <c r="Q440" s="153"/>
      <c r="R440" s="153"/>
    </row>
    <row r="441" spans="1:18" ht="15">
      <c r="A441" s="150">
        <v>165100.01</v>
      </c>
      <c r="B441" s="150">
        <v>12642</v>
      </c>
      <c r="C441">
        <f t="shared" si="54"/>
        <v>168</v>
      </c>
      <c r="D441" s="153"/>
      <c r="E441" s="153"/>
      <c r="F441" s="153"/>
      <c r="G441" s="153"/>
      <c r="H441" s="153"/>
      <c r="I441" s="153"/>
      <c r="J441" s="153"/>
      <c r="K441" s="153"/>
      <c r="L441" s="153"/>
      <c r="M441" s="153"/>
      <c r="N441" s="153"/>
      <c r="O441" s="153"/>
      <c r="P441" s="153"/>
      <c r="Q441" s="153"/>
      <c r="R441" s="153"/>
    </row>
    <row r="442" spans="1:18" ht="15">
      <c r="A442" s="150">
        <v>165200.01</v>
      </c>
      <c r="B442" s="150">
        <v>12474</v>
      </c>
      <c r="C442">
        <f t="shared" si="54"/>
        <v>168</v>
      </c>
      <c r="D442" s="153"/>
      <c r="E442" s="153"/>
      <c r="F442" s="153"/>
      <c r="G442" s="153"/>
      <c r="H442" s="153"/>
      <c r="I442" s="153"/>
      <c r="J442" s="153"/>
      <c r="K442" s="153"/>
      <c r="L442" s="153"/>
      <c r="M442" s="153"/>
      <c r="N442" s="153"/>
      <c r="O442" s="153"/>
      <c r="P442" s="153"/>
      <c r="Q442" s="153"/>
      <c r="R442" s="153"/>
    </row>
    <row r="443" spans="1:18" ht="15">
      <c r="A443" s="150">
        <v>165300.01</v>
      </c>
      <c r="B443" s="150">
        <v>12306</v>
      </c>
      <c r="C443">
        <f t="shared" si="54"/>
        <v>168</v>
      </c>
      <c r="D443" s="153"/>
      <c r="E443" s="153"/>
      <c r="F443" s="153"/>
      <c r="G443" s="153"/>
      <c r="H443" s="153"/>
      <c r="I443" s="153"/>
      <c r="J443" s="153"/>
      <c r="K443" s="153"/>
      <c r="L443" s="153"/>
      <c r="M443" s="153"/>
      <c r="N443" s="153"/>
      <c r="O443" s="153"/>
      <c r="P443" s="153"/>
      <c r="Q443" s="153"/>
      <c r="R443" s="153"/>
    </row>
    <row r="444" spans="1:18" ht="15">
      <c r="A444" s="150">
        <v>165400.01</v>
      </c>
      <c r="B444" s="150">
        <v>12138</v>
      </c>
      <c r="C444">
        <f t="shared" si="54"/>
        <v>168</v>
      </c>
      <c r="D444" s="153"/>
      <c r="E444" s="153"/>
      <c r="F444" s="153"/>
      <c r="G444" s="153"/>
      <c r="H444" s="153"/>
      <c r="I444" s="153"/>
      <c r="J444" s="153"/>
      <c r="K444" s="153"/>
      <c r="L444" s="153"/>
      <c r="M444" s="153"/>
      <c r="N444" s="153"/>
      <c r="O444" s="153"/>
      <c r="P444" s="153"/>
      <c r="Q444" s="153"/>
      <c r="R444" s="153"/>
    </row>
    <row r="445" spans="1:18" ht="15">
      <c r="A445" s="150">
        <v>165500.01</v>
      </c>
      <c r="B445" s="150">
        <v>11970</v>
      </c>
      <c r="C445">
        <f t="shared" si="54"/>
        <v>167</v>
      </c>
      <c r="D445" s="153"/>
      <c r="E445" s="153"/>
      <c r="F445" s="153"/>
      <c r="G445" s="153"/>
      <c r="H445" s="153"/>
      <c r="I445" s="153"/>
      <c r="J445" s="153"/>
      <c r="K445" s="153"/>
      <c r="L445" s="153"/>
      <c r="M445" s="153"/>
      <c r="N445" s="153"/>
      <c r="O445" s="153"/>
      <c r="P445" s="153"/>
      <c r="Q445" s="153"/>
      <c r="R445" s="153"/>
    </row>
    <row r="446" spans="1:18" ht="15">
      <c r="A446" s="150">
        <v>165600.01</v>
      </c>
      <c r="B446" s="150">
        <v>11803</v>
      </c>
      <c r="C446">
        <f t="shared" si="54"/>
        <v>167</v>
      </c>
      <c r="D446" s="153"/>
      <c r="E446" s="153"/>
      <c r="F446" s="153"/>
      <c r="G446" s="153"/>
      <c r="H446" s="153"/>
      <c r="I446" s="153"/>
      <c r="J446" s="153"/>
      <c r="K446" s="153"/>
      <c r="L446" s="153"/>
      <c r="M446" s="153"/>
      <c r="N446" s="153"/>
      <c r="O446" s="153"/>
      <c r="P446" s="153"/>
      <c r="Q446" s="153"/>
      <c r="R446" s="153"/>
    </row>
    <row r="447" spans="1:18" ht="15">
      <c r="A447" s="150">
        <v>165700.01</v>
      </c>
      <c r="B447" s="150">
        <v>11636</v>
      </c>
      <c r="C447">
        <f t="shared" si="54"/>
        <v>167</v>
      </c>
      <c r="D447" s="153"/>
      <c r="E447" s="153"/>
      <c r="F447" s="153"/>
      <c r="G447" s="153"/>
      <c r="H447" s="153"/>
      <c r="I447" s="153"/>
      <c r="J447" s="153"/>
      <c r="K447" s="153"/>
      <c r="L447" s="153"/>
      <c r="M447" s="153"/>
      <c r="N447" s="153"/>
      <c r="O447" s="153"/>
      <c r="P447" s="153"/>
      <c r="Q447" s="153"/>
      <c r="R447" s="153"/>
    </row>
    <row r="448" spans="1:18" ht="15">
      <c r="A448" s="150">
        <v>165800.01</v>
      </c>
      <c r="B448" s="150">
        <v>11469</v>
      </c>
      <c r="C448">
        <f t="shared" si="54"/>
        <v>167</v>
      </c>
      <c r="D448" s="153"/>
      <c r="E448" s="153"/>
      <c r="F448" s="153"/>
      <c r="G448" s="153"/>
      <c r="H448" s="153"/>
      <c r="I448" s="153"/>
      <c r="J448" s="153"/>
      <c r="K448" s="153"/>
      <c r="L448" s="153"/>
      <c r="M448" s="153"/>
      <c r="N448" s="153"/>
      <c r="O448" s="153"/>
      <c r="P448" s="153"/>
      <c r="Q448" s="153"/>
      <c r="R448" s="153"/>
    </row>
    <row r="449" spans="1:18" ht="15">
      <c r="A449" s="150">
        <v>165900.01</v>
      </c>
      <c r="B449" s="150">
        <v>11302</v>
      </c>
      <c r="C449">
        <f t="shared" si="54"/>
        <v>167</v>
      </c>
      <c r="D449" s="153"/>
      <c r="E449" s="153"/>
      <c r="F449" s="153"/>
      <c r="G449" s="153"/>
      <c r="H449" s="153"/>
      <c r="I449" s="153"/>
      <c r="J449" s="153"/>
      <c r="K449" s="153"/>
      <c r="L449" s="153"/>
      <c r="M449" s="153"/>
      <c r="N449" s="153"/>
      <c r="O449" s="153"/>
      <c r="P449" s="153"/>
      <c r="Q449" s="153"/>
      <c r="R449" s="153"/>
    </row>
    <row r="450" spans="1:18" ht="15">
      <c r="A450" s="150">
        <v>166000.01</v>
      </c>
      <c r="B450" s="150">
        <v>11135</v>
      </c>
      <c r="C450">
        <f t="shared" si="54"/>
        <v>166</v>
      </c>
      <c r="D450" s="153"/>
      <c r="E450" s="153"/>
      <c r="F450" s="153"/>
      <c r="G450" s="153"/>
      <c r="H450" s="153"/>
      <c r="I450" s="153"/>
      <c r="J450" s="153"/>
      <c r="K450" s="153"/>
      <c r="L450" s="153"/>
      <c r="M450" s="153"/>
      <c r="N450" s="153"/>
      <c r="O450" s="153"/>
      <c r="P450" s="153"/>
      <c r="Q450" s="153"/>
      <c r="R450" s="153"/>
    </row>
    <row r="451" spans="1:18" ht="15">
      <c r="A451" s="150">
        <v>166100.01</v>
      </c>
      <c r="B451" s="150">
        <v>10969</v>
      </c>
      <c r="C451">
        <f t="shared" si="54"/>
        <v>167</v>
      </c>
      <c r="D451" s="153"/>
      <c r="E451" s="153"/>
      <c r="F451" s="153"/>
      <c r="G451" s="153"/>
      <c r="H451" s="153"/>
      <c r="I451" s="153"/>
      <c r="J451" s="153"/>
      <c r="K451" s="153"/>
      <c r="L451" s="153"/>
      <c r="M451" s="153"/>
      <c r="N451" s="153"/>
      <c r="O451" s="153"/>
      <c r="P451" s="153"/>
      <c r="Q451" s="153"/>
      <c r="R451" s="153"/>
    </row>
    <row r="452" spans="1:18" ht="15">
      <c r="A452" s="150">
        <v>166200.01</v>
      </c>
      <c r="B452" s="150">
        <v>10802</v>
      </c>
      <c r="C452">
        <f t="shared" si="54"/>
        <v>166</v>
      </c>
      <c r="D452" s="153"/>
      <c r="E452" s="153"/>
      <c r="F452" s="153"/>
      <c r="G452" s="153"/>
      <c r="H452" s="153"/>
      <c r="I452" s="153"/>
      <c r="J452" s="153"/>
      <c r="K452" s="153"/>
      <c r="L452" s="153"/>
      <c r="M452" s="153"/>
      <c r="N452" s="153"/>
      <c r="O452" s="153"/>
      <c r="P452" s="153"/>
      <c r="Q452" s="153"/>
      <c r="R452" s="153"/>
    </row>
    <row r="453" spans="1:18" ht="15">
      <c r="A453" s="150">
        <v>166300.01</v>
      </c>
      <c r="B453" s="150">
        <v>10636</v>
      </c>
      <c r="C453">
        <f t="shared" si="54"/>
        <v>166</v>
      </c>
      <c r="D453" s="153"/>
      <c r="E453" s="153"/>
      <c r="F453" s="153"/>
      <c r="G453" s="153"/>
      <c r="H453" s="153"/>
      <c r="I453" s="153"/>
      <c r="J453" s="153"/>
      <c r="K453" s="153"/>
      <c r="L453" s="153"/>
      <c r="M453" s="153"/>
      <c r="N453" s="153"/>
      <c r="O453" s="153"/>
      <c r="P453" s="153"/>
      <c r="Q453" s="153"/>
      <c r="R453" s="153"/>
    </row>
    <row r="454" spans="1:18" ht="15">
      <c r="A454" s="150">
        <v>166400.01</v>
      </c>
      <c r="B454" s="150">
        <v>10470</v>
      </c>
      <c r="C454">
        <f t="shared" si="54"/>
        <v>166</v>
      </c>
      <c r="D454" s="153"/>
      <c r="E454" s="153"/>
      <c r="F454" s="153"/>
      <c r="G454" s="153"/>
      <c r="H454" s="153"/>
      <c r="I454" s="153"/>
      <c r="J454" s="153"/>
      <c r="K454" s="153"/>
      <c r="L454" s="153"/>
      <c r="M454" s="153"/>
      <c r="N454" s="153"/>
      <c r="O454" s="153"/>
      <c r="P454" s="153"/>
      <c r="Q454" s="153"/>
      <c r="R454" s="153"/>
    </row>
    <row r="455" spans="1:18" ht="15">
      <c r="A455" s="150">
        <v>166500.01</v>
      </c>
      <c r="B455" s="150">
        <v>10304</v>
      </c>
      <c r="C455">
        <f t="shared" si="54"/>
        <v>165</v>
      </c>
      <c r="D455" s="153"/>
      <c r="E455" s="153"/>
      <c r="F455" s="153"/>
      <c r="G455" s="153"/>
      <c r="H455" s="153"/>
      <c r="I455" s="153"/>
      <c r="J455" s="153"/>
      <c r="K455" s="153"/>
      <c r="L455" s="153"/>
      <c r="M455" s="153"/>
      <c r="N455" s="153"/>
      <c r="O455" s="153"/>
      <c r="P455" s="153"/>
      <c r="Q455" s="153"/>
      <c r="R455" s="153"/>
    </row>
    <row r="456" spans="1:18" ht="15">
      <c r="A456" s="150">
        <v>166600.01</v>
      </c>
      <c r="B456" s="150">
        <v>10139</v>
      </c>
      <c r="C456">
        <f t="shared" si="54"/>
        <v>166</v>
      </c>
      <c r="D456" s="153"/>
      <c r="E456" s="153"/>
      <c r="F456" s="153"/>
      <c r="G456" s="153"/>
      <c r="H456" s="153"/>
      <c r="I456" s="153"/>
      <c r="J456" s="153"/>
      <c r="K456" s="153"/>
      <c r="L456" s="153"/>
      <c r="M456" s="153"/>
      <c r="N456" s="153"/>
      <c r="O456" s="153"/>
      <c r="P456" s="153"/>
      <c r="Q456" s="153"/>
      <c r="R456" s="153"/>
    </row>
    <row r="457" spans="1:18" ht="15">
      <c r="A457" s="150">
        <v>166700.01</v>
      </c>
      <c r="B457" s="150">
        <v>9973</v>
      </c>
      <c r="C457">
        <f t="shared" si="54"/>
        <v>165</v>
      </c>
      <c r="D457" s="153"/>
      <c r="E457" s="153"/>
      <c r="F457" s="153"/>
      <c r="G457" s="153"/>
      <c r="H457" s="153"/>
      <c r="I457" s="153"/>
      <c r="J457" s="153"/>
      <c r="K457" s="153"/>
      <c r="L457" s="153"/>
      <c r="M457" s="153"/>
      <c r="N457" s="153"/>
      <c r="O457" s="153"/>
      <c r="P457" s="153"/>
      <c r="Q457" s="153"/>
      <c r="R457" s="153"/>
    </row>
    <row r="458" spans="1:18" ht="15">
      <c r="A458" s="150">
        <v>166800.01</v>
      </c>
      <c r="B458" s="150">
        <v>9808</v>
      </c>
      <c r="C458">
        <f t="shared" si="54"/>
        <v>165</v>
      </c>
      <c r="D458" s="153"/>
      <c r="E458" s="153"/>
      <c r="F458" s="153"/>
      <c r="G458" s="153"/>
      <c r="H458" s="153"/>
      <c r="I458" s="153"/>
      <c r="J458" s="153"/>
      <c r="K458" s="153"/>
      <c r="L458" s="153"/>
      <c r="M458" s="153"/>
      <c r="N458" s="153"/>
      <c r="O458" s="153"/>
      <c r="P458" s="153"/>
      <c r="Q458" s="153"/>
      <c r="R458" s="153"/>
    </row>
    <row r="459" spans="1:18" ht="15">
      <c r="A459" s="150">
        <v>166900.01</v>
      </c>
      <c r="B459" s="150">
        <v>9643</v>
      </c>
      <c r="C459">
        <f t="shared" si="54"/>
        <v>165</v>
      </c>
      <c r="D459" s="153"/>
      <c r="E459" s="153"/>
      <c r="F459" s="153"/>
      <c r="G459" s="153"/>
      <c r="H459" s="153"/>
      <c r="I459" s="153"/>
      <c r="J459" s="153"/>
      <c r="K459" s="153"/>
      <c r="L459" s="153"/>
      <c r="M459" s="153"/>
      <c r="N459" s="153"/>
      <c r="O459" s="153"/>
      <c r="P459" s="153"/>
      <c r="Q459" s="153"/>
      <c r="R459" s="153"/>
    </row>
    <row r="460" spans="1:18" ht="15">
      <c r="A460" s="150">
        <v>167000.01</v>
      </c>
      <c r="B460" s="150">
        <v>9478</v>
      </c>
      <c r="C460">
        <f t="shared" si="54"/>
        <v>165</v>
      </c>
      <c r="D460" s="153"/>
      <c r="E460" s="153"/>
      <c r="F460" s="153"/>
      <c r="G460" s="153"/>
      <c r="H460" s="153"/>
      <c r="I460" s="153"/>
      <c r="J460" s="153"/>
      <c r="K460" s="153"/>
      <c r="L460" s="153"/>
      <c r="M460" s="153"/>
      <c r="N460" s="153"/>
      <c r="O460" s="153"/>
      <c r="P460" s="153"/>
      <c r="Q460" s="153"/>
      <c r="R460" s="153"/>
    </row>
    <row r="461" spans="1:18" ht="15">
      <c r="A461" s="150">
        <v>167100.01</v>
      </c>
      <c r="B461" s="150">
        <v>9313</v>
      </c>
      <c r="C461">
        <f t="shared" si="54"/>
        <v>165</v>
      </c>
      <c r="D461" s="153"/>
      <c r="E461" s="153"/>
      <c r="F461" s="153"/>
      <c r="G461" s="153"/>
      <c r="H461" s="153"/>
      <c r="I461" s="153"/>
      <c r="J461" s="153"/>
      <c r="K461" s="153"/>
      <c r="L461" s="153"/>
      <c r="M461" s="153"/>
      <c r="N461" s="153"/>
      <c r="O461" s="153"/>
      <c r="P461" s="153"/>
      <c r="Q461" s="153"/>
      <c r="R461" s="153"/>
    </row>
    <row r="462" spans="1:18" ht="15">
      <c r="A462" s="150">
        <v>167200.01</v>
      </c>
      <c r="B462" s="150">
        <v>9148</v>
      </c>
      <c r="C462">
        <f t="shared" si="54"/>
        <v>165</v>
      </c>
      <c r="D462" s="153"/>
      <c r="E462" s="153"/>
      <c r="F462" s="153"/>
      <c r="G462" s="153"/>
      <c r="H462" s="153"/>
      <c r="I462" s="153"/>
      <c r="J462" s="153"/>
      <c r="K462" s="153"/>
      <c r="L462" s="153"/>
      <c r="M462" s="153"/>
      <c r="N462" s="153"/>
      <c r="O462" s="153"/>
      <c r="P462" s="153"/>
      <c r="Q462" s="153"/>
      <c r="R462" s="153"/>
    </row>
    <row r="463" spans="1:18" ht="15">
      <c r="A463" s="150">
        <v>167300.01</v>
      </c>
      <c r="B463" s="150">
        <v>8983</v>
      </c>
      <c r="C463">
        <f t="shared" si="54"/>
        <v>164</v>
      </c>
      <c r="D463" s="153"/>
      <c r="E463" s="153"/>
      <c r="F463" s="153"/>
      <c r="G463" s="153"/>
      <c r="H463" s="153"/>
      <c r="I463" s="153"/>
      <c r="J463" s="153"/>
      <c r="K463" s="153"/>
      <c r="L463" s="153"/>
      <c r="M463" s="153"/>
      <c r="N463" s="153"/>
      <c r="O463" s="153"/>
      <c r="P463" s="153"/>
      <c r="Q463" s="153"/>
      <c r="R463" s="153"/>
    </row>
    <row r="464" spans="1:18" ht="15">
      <c r="A464" s="150">
        <v>167400.01</v>
      </c>
      <c r="B464" s="150">
        <v>8819</v>
      </c>
      <c r="C464">
        <f t="shared" si="54"/>
        <v>164</v>
      </c>
      <c r="D464" s="153"/>
      <c r="E464" s="153"/>
      <c r="F464" s="153"/>
      <c r="G464" s="153"/>
      <c r="H464" s="153"/>
      <c r="I464" s="153"/>
      <c r="J464" s="153"/>
      <c r="K464" s="153"/>
      <c r="L464" s="153"/>
      <c r="M464" s="153"/>
      <c r="N464" s="153"/>
      <c r="O464" s="153"/>
      <c r="P464" s="153"/>
      <c r="Q464" s="153"/>
      <c r="R464" s="153"/>
    </row>
    <row r="465" spans="1:18" ht="15">
      <c r="A465" s="150">
        <v>167500.01</v>
      </c>
      <c r="B465" s="150">
        <v>8655</v>
      </c>
      <c r="C465">
        <f t="shared" si="54"/>
        <v>164</v>
      </c>
      <c r="D465" s="153"/>
      <c r="E465" s="153"/>
      <c r="F465" s="153"/>
      <c r="G465" s="153"/>
      <c r="H465" s="153"/>
      <c r="I465" s="153"/>
      <c r="J465" s="153"/>
      <c r="K465" s="153"/>
      <c r="L465" s="153"/>
      <c r="M465" s="153"/>
      <c r="N465" s="153"/>
      <c r="O465" s="153"/>
      <c r="P465" s="153"/>
      <c r="Q465" s="153"/>
      <c r="R465" s="153"/>
    </row>
    <row r="466" spans="1:18" ht="15">
      <c r="A466" s="150">
        <v>167600.01</v>
      </c>
      <c r="B466" s="150">
        <v>8491</v>
      </c>
      <c r="C466">
        <f t="shared" si="54"/>
        <v>164</v>
      </c>
      <c r="D466" s="153"/>
      <c r="E466" s="153"/>
      <c r="F466" s="153"/>
      <c r="G466" s="153"/>
      <c r="H466" s="153"/>
      <c r="I466" s="153"/>
      <c r="J466" s="153"/>
      <c r="K466" s="153"/>
      <c r="L466" s="153"/>
      <c r="M466" s="153"/>
      <c r="N466" s="153"/>
      <c r="O466" s="153"/>
      <c r="P466" s="153"/>
      <c r="Q466" s="153"/>
      <c r="R466" s="153"/>
    </row>
    <row r="467" spans="1:18" ht="15">
      <c r="A467" s="150">
        <v>167700.01</v>
      </c>
      <c r="B467" s="150">
        <v>8327</v>
      </c>
      <c r="C467">
        <f t="shared" si="54"/>
        <v>164</v>
      </c>
      <c r="D467" s="153"/>
      <c r="E467" s="153"/>
      <c r="F467" s="153"/>
      <c r="G467" s="153"/>
      <c r="H467" s="153"/>
      <c r="I467" s="153"/>
      <c r="J467" s="153"/>
      <c r="K467" s="153"/>
      <c r="L467" s="153"/>
      <c r="M467" s="153"/>
      <c r="N467" s="153"/>
      <c r="O467" s="153"/>
      <c r="P467" s="153"/>
      <c r="Q467" s="153"/>
      <c r="R467" s="153"/>
    </row>
    <row r="468" spans="1:18" ht="15">
      <c r="A468" s="150">
        <v>167800.01</v>
      </c>
      <c r="B468" s="150">
        <v>8163</v>
      </c>
      <c r="C468">
        <f t="shared" si="54"/>
        <v>163</v>
      </c>
      <c r="D468" s="153"/>
      <c r="E468" s="153"/>
      <c r="F468" s="153"/>
      <c r="G468" s="153"/>
      <c r="H468" s="153"/>
      <c r="I468" s="153"/>
      <c r="J468" s="153"/>
      <c r="K468" s="153"/>
      <c r="L468" s="153"/>
      <c r="M468" s="153"/>
      <c r="N468" s="153"/>
      <c r="O468" s="153"/>
      <c r="P468" s="153"/>
      <c r="Q468" s="153"/>
      <c r="R468" s="153"/>
    </row>
    <row r="469" spans="1:18" ht="15">
      <c r="A469" s="150">
        <v>167900.01</v>
      </c>
      <c r="B469" s="150">
        <v>8000</v>
      </c>
      <c r="C469">
        <f t="shared" si="54"/>
        <v>164</v>
      </c>
      <c r="D469" s="153"/>
      <c r="E469" s="153"/>
      <c r="F469" s="153"/>
      <c r="G469" s="153"/>
      <c r="H469" s="153"/>
      <c r="I469" s="153"/>
      <c r="J469" s="153"/>
      <c r="K469" s="153"/>
      <c r="L469" s="153"/>
      <c r="M469" s="153"/>
      <c r="N469" s="153"/>
      <c r="O469" s="153"/>
      <c r="P469" s="153"/>
      <c r="Q469" s="153"/>
      <c r="R469" s="153"/>
    </row>
    <row r="470" spans="1:18" ht="15">
      <c r="A470" s="150">
        <v>168000.01</v>
      </c>
      <c r="B470" s="150">
        <v>7836</v>
      </c>
      <c r="C470">
        <f t="shared" si="54"/>
        <v>163</v>
      </c>
      <c r="D470" s="153"/>
      <c r="E470" s="153"/>
      <c r="F470" s="153"/>
      <c r="G470" s="153"/>
      <c r="H470" s="153"/>
      <c r="I470" s="153"/>
      <c r="J470" s="153"/>
      <c r="K470" s="153"/>
      <c r="L470" s="153"/>
      <c r="M470" s="153"/>
      <c r="N470" s="153"/>
      <c r="O470" s="153"/>
      <c r="P470" s="153"/>
      <c r="Q470" s="153"/>
      <c r="R470" s="153"/>
    </row>
    <row r="471" spans="1:18" ht="15">
      <c r="A471" s="150">
        <v>168100.01</v>
      </c>
      <c r="B471" s="150">
        <v>7673</v>
      </c>
      <c r="C471">
        <f t="shared" si="54"/>
        <v>163</v>
      </c>
      <c r="D471" s="153"/>
      <c r="E471" s="153"/>
      <c r="F471" s="153"/>
      <c r="G471" s="153"/>
      <c r="H471" s="153"/>
      <c r="I471" s="153"/>
      <c r="J471" s="153"/>
      <c r="K471" s="153"/>
      <c r="L471" s="153"/>
      <c r="M471" s="153"/>
      <c r="N471" s="153"/>
      <c r="O471" s="153"/>
      <c r="P471" s="153"/>
      <c r="Q471" s="153"/>
      <c r="R471" s="153"/>
    </row>
    <row r="472" spans="1:18" ht="15">
      <c r="A472" s="150">
        <v>168200.01</v>
      </c>
      <c r="B472" s="150">
        <v>7510</v>
      </c>
      <c r="C472">
        <f t="shared" si="54"/>
        <v>163</v>
      </c>
      <c r="D472" s="153"/>
      <c r="E472" s="153"/>
      <c r="F472" s="153"/>
      <c r="G472" s="153"/>
      <c r="H472" s="153"/>
      <c r="I472" s="153"/>
      <c r="J472" s="153"/>
      <c r="K472" s="153"/>
      <c r="L472" s="153"/>
      <c r="M472" s="153"/>
      <c r="N472" s="153"/>
      <c r="O472" s="153"/>
      <c r="P472" s="153"/>
      <c r="Q472" s="153"/>
      <c r="R472" s="153"/>
    </row>
    <row r="473" spans="1:18" ht="15">
      <c r="A473" s="150">
        <v>168300.01</v>
      </c>
      <c r="B473" s="150">
        <v>7347</v>
      </c>
      <c r="C473">
        <f t="shared" si="54"/>
        <v>163</v>
      </c>
      <c r="D473" s="153"/>
      <c r="E473" s="153"/>
      <c r="F473" s="153"/>
      <c r="G473" s="153"/>
      <c r="H473" s="153"/>
      <c r="I473" s="153"/>
      <c r="J473" s="153"/>
      <c r="K473" s="153"/>
      <c r="L473" s="153"/>
      <c r="M473" s="153"/>
      <c r="N473" s="153"/>
      <c r="O473" s="153"/>
      <c r="P473" s="153"/>
      <c r="Q473" s="153"/>
      <c r="R473" s="153"/>
    </row>
    <row r="474" spans="1:18" ht="15">
      <c r="A474" s="150">
        <v>168400.01</v>
      </c>
      <c r="B474" s="150">
        <v>7184</v>
      </c>
      <c r="C474">
        <f t="shared" si="54"/>
        <v>162</v>
      </c>
      <c r="D474" s="153"/>
      <c r="E474" s="153"/>
      <c r="F474" s="153"/>
      <c r="G474" s="153"/>
      <c r="H474" s="153"/>
      <c r="I474" s="153"/>
      <c r="J474" s="153"/>
      <c r="K474" s="153"/>
      <c r="L474" s="153"/>
      <c r="M474" s="153"/>
      <c r="N474" s="153"/>
      <c r="O474" s="153"/>
      <c r="P474" s="153"/>
      <c r="Q474" s="153"/>
      <c r="R474" s="153"/>
    </row>
    <row r="475" spans="1:18" ht="15">
      <c r="A475" s="150">
        <v>168500.01</v>
      </c>
      <c r="B475" s="150">
        <v>7022</v>
      </c>
      <c r="C475">
        <f t="shared" si="54"/>
        <v>163</v>
      </c>
      <c r="D475" s="153"/>
      <c r="E475" s="153"/>
      <c r="F475" s="153"/>
      <c r="G475" s="153"/>
      <c r="H475" s="153"/>
      <c r="I475" s="153"/>
      <c r="J475" s="153"/>
      <c r="K475" s="153"/>
      <c r="L475" s="153"/>
      <c r="M475" s="153"/>
      <c r="N475" s="153"/>
      <c r="O475" s="153"/>
      <c r="P475" s="153"/>
      <c r="Q475" s="153"/>
      <c r="R475" s="153"/>
    </row>
    <row r="476" spans="1:18" ht="15">
      <c r="A476" s="150">
        <v>168600.01</v>
      </c>
      <c r="B476" s="150">
        <v>6859</v>
      </c>
      <c r="C476">
        <f t="shared" si="54"/>
        <v>162</v>
      </c>
      <c r="D476" s="153"/>
      <c r="E476" s="153"/>
      <c r="F476" s="153"/>
      <c r="G476" s="153"/>
      <c r="H476" s="153"/>
      <c r="I476" s="153"/>
      <c r="J476" s="153"/>
      <c r="K476" s="153"/>
      <c r="L476" s="153"/>
      <c r="M476" s="153"/>
      <c r="N476" s="153"/>
      <c r="O476" s="153"/>
      <c r="P476" s="153"/>
      <c r="Q476" s="153"/>
      <c r="R476" s="153"/>
    </row>
    <row r="477" spans="1:18" ht="15">
      <c r="A477" s="150">
        <v>168700.01</v>
      </c>
      <c r="B477" s="150">
        <v>6697</v>
      </c>
      <c r="C477">
        <f t="shared" si="54"/>
        <v>163</v>
      </c>
      <c r="D477" s="153"/>
      <c r="E477" s="153"/>
      <c r="F477" s="153"/>
      <c r="G477" s="153"/>
      <c r="H477" s="153"/>
      <c r="I477" s="153"/>
      <c r="J477" s="153"/>
      <c r="K477" s="153"/>
      <c r="L477" s="153"/>
      <c r="M477" s="153"/>
      <c r="N477" s="153"/>
      <c r="O477" s="153"/>
      <c r="P477" s="153"/>
      <c r="Q477" s="153"/>
      <c r="R477" s="153"/>
    </row>
    <row r="478" spans="1:18" ht="15">
      <c r="A478" s="150">
        <v>168800.01</v>
      </c>
      <c r="B478" s="150">
        <v>6534</v>
      </c>
      <c r="C478">
        <f t="shared" si="54"/>
        <v>162</v>
      </c>
      <c r="D478" s="153"/>
      <c r="E478" s="153"/>
      <c r="F478" s="153"/>
      <c r="G478" s="153"/>
      <c r="H478" s="153"/>
      <c r="I478" s="153"/>
      <c r="J478" s="153"/>
      <c r="K478" s="153"/>
      <c r="L478" s="153"/>
      <c r="M478" s="153"/>
      <c r="N478" s="153"/>
      <c r="O478" s="153"/>
      <c r="P478" s="153"/>
      <c r="Q478" s="153"/>
      <c r="R478" s="153"/>
    </row>
    <row r="479" spans="1:18" ht="15">
      <c r="A479" s="150">
        <v>168900.01</v>
      </c>
      <c r="B479" s="150">
        <v>6372</v>
      </c>
      <c r="C479">
        <f t="shared" si="54"/>
        <v>162</v>
      </c>
      <c r="D479" s="153"/>
      <c r="E479" s="153"/>
      <c r="F479" s="153"/>
      <c r="G479" s="153"/>
      <c r="H479" s="153"/>
      <c r="I479" s="153"/>
      <c r="J479" s="153"/>
      <c r="K479" s="153"/>
      <c r="L479" s="153"/>
      <c r="M479" s="153"/>
      <c r="N479" s="153"/>
      <c r="O479" s="153"/>
      <c r="P479" s="153"/>
      <c r="Q479" s="153"/>
      <c r="R479" s="153"/>
    </row>
    <row r="480" spans="1:18" ht="15">
      <c r="A480" s="150">
        <v>169000.01</v>
      </c>
      <c r="B480" s="150">
        <v>6210</v>
      </c>
      <c r="C480">
        <f t="shared" si="54"/>
        <v>161</v>
      </c>
      <c r="D480" s="153"/>
      <c r="E480" s="153"/>
      <c r="F480" s="153"/>
      <c r="G480" s="153"/>
      <c r="H480" s="153"/>
      <c r="I480" s="153"/>
      <c r="J480" s="153"/>
      <c r="K480" s="153"/>
      <c r="L480" s="153"/>
      <c r="M480" s="153"/>
      <c r="N480" s="153"/>
      <c r="O480" s="153"/>
      <c r="P480" s="153"/>
      <c r="Q480" s="153"/>
      <c r="R480" s="153"/>
    </row>
    <row r="481" spans="1:18" ht="15">
      <c r="A481" s="150">
        <v>169100.01</v>
      </c>
      <c r="B481" s="150">
        <v>6049</v>
      </c>
      <c r="C481">
        <f t="shared" si="54"/>
        <v>162</v>
      </c>
      <c r="D481" s="153"/>
      <c r="E481" s="153"/>
      <c r="F481" s="153"/>
      <c r="G481" s="153"/>
      <c r="H481" s="153"/>
      <c r="I481" s="153"/>
      <c r="J481" s="153"/>
      <c r="K481" s="153"/>
      <c r="L481" s="153"/>
      <c r="M481" s="153"/>
      <c r="N481" s="153"/>
      <c r="O481" s="153"/>
      <c r="P481" s="153"/>
      <c r="Q481" s="153"/>
      <c r="R481" s="153"/>
    </row>
    <row r="482" spans="1:18" ht="15">
      <c r="A482" s="150">
        <v>169200.01</v>
      </c>
      <c r="B482" s="150">
        <v>5887</v>
      </c>
      <c r="C482">
        <f aca="true" t="shared" si="55" ref="C482:C518">+B482-B483</f>
        <v>161</v>
      </c>
      <c r="D482" s="153"/>
      <c r="E482" s="153"/>
      <c r="F482" s="153"/>
      <c r="G482" s="153"/>
      <c r="H482" s="153"/>
      <c r="I482" s="153"/>
      <c r="J482" s="153"/>
      <c r="K482" s="153"/>
      <c r="L482" s="153"/>
      <c r="M482" s="153"/>
      <c r="N482" s="153"/>
      <c r="O482" s="153"/>
      <c r="P482" s="153"/>
      <c r="Q482" s="153"/>
      <c r="R482" s="153"/>
    </row>
    <row r="483" spans="1:18" ht="15">
      <c r="A483" s="150">
        <v>169300.01</v>
      </c>
      <c r="B483" s="150">
        <v>5726</v>
      </c>
      <c r="C483">
        <f t="shared" si="55"/>
        <v>162</v>
      </c>
      <c r="D483" s="153"/>
      <c r="E483" s="153"/>
      <c r="F483" s="153"/>
      <c r="G483" s="153"/>
      <c r="H483" s="153"/>
      <c r="I483" s="153"/>
      <c r="J483" s="153"/>
      <c r="K483" s="153"/>
      <c r="L483" s="153"/>
      <c r="M483" s="153"/>
      <c r="N483" s="153"/>
      <c r="O483" s="153"/>
      <c r="P483" s="153"/>
      <c r="Q483" s="153"/>
      <c r="R483" s="153"/>
    </row>
    <row r="484" spans="1:18" ht="15">
      <c r="A484" s="150">
        <v>169400.01</v>
      </c>
      <c r="B484" s="150">
        <v>5564</v>
      </c>
      <c r="C484">
        <f t="shared" si="55"/>
        <v>161</v>
      </c>
      <c r="D484" s="153"/>
      <c r="E484" s="153"/>
      <c r="F484" s="153"/>
      <c r="G484" s="153"/>
      <c r="H484" s="153"/>
      <c r="I484" s="153"/>
      <c r="J484" s="153"/>
      <c r="K484" s="153"/>
      <c r="L484" s="153"/>
      <c r="M484" s="153"/>
      <c r="N484" s="153"/>
      <c r="O484" s="153"/>
      <c r="P484" s="153"/>
      <c r="Q484" s="153"/>
      <c r="R484" s="153"/>
    </row>
    <row r="485" spans="1:18" ht="15">
      <c r="A485" s="150">
        <v>169500.01</v>
      </c>
      <c r="B485" s="150">
        <v>5403</v>
      </c>
      <c r="C485">
        <f t="shared" si="55"/>
        <v>161</v>
      </c>
      <c r="D485" s="153"/>
      <c r="E485" s="153"/>
      <c r="F485" s="153"/>
      <c r="G485" s="153"/>
      <c r="H485" s="153"/>
      <c r="I485" s="153"/>
      <c r="J485" s="153"/>
      <c r="K485" s="153"/>
      <c r="L485" s="153"/>
      <c r="M485" s="153"/>
      <c r="N485" s="153"/>
      <c r="O485" s="153"/>
      <c r="P485" s="153"/>
      <c r="Q485" s="153"/>
      <c r="R485" s="153"/>
    </row>
    <row r="486" spans="1:18" ht="15">
      <c r="A486" s="150">
        <v>169600.01</v>
      </c>
      <c r="B486" s="150">
        <v>5242</v>
      </c>
      <c r="C486">
        <f t="shared" si="55"/>
        <v>161</v>
      </c>
      <c r="D486" s="153"/>
      <c r="E486" s="153"/>
      <c r="F486" s="153"/>
      <c r="G486" s="153"/>
      <c r="H486" s="153"/>
      <c r="I486" s="153"/>
      <c r="J486" s="153"/>
      <c r="K486" s="153"/>
      <c r="L486" s="153"/>
      <c r="M486" s="153"/>
      <c r="N486" s="153"/>
      <c r="O486" s="153"/>
      <c r="P486" s="153"/>
      <c r="Q486" s="153"/>
      <c r="R486" s="153"/>
    </row>
    <row r="487" spans="1:18" ht="15">
      <c r="A487" s="150">
        <v>169700.01</v>
      </c>
      <c r="B487" s="150">
        <v>5081</v>
      </c>
      <c r="C487">
        <f t="shared" si="55"/>
        <v>161</v>
      </c>
      <c r="D487" s="153"/>
      <c r="E487" s="153"/>
      <c r="F487" s="153"/>
      <c r="G487" s="153"/>
      <c r="H487" s="153"/>
      <c r="I487" s="153"/>
      <c r="J487" s="153"/>
      <c r="K487" s="153"/>
      <c r="L487" s="153"/>
      <c r="M487" s="153"/>
      <c r="N487" s="153"/>
      <c r="O487" s="153"/>
      <c r="P487" s="153"/>
      <c r="Q487" s="153"/>
      <c r="R487" s="153"/>
    </row>
    <row r="488" spans="1:18" ht="15">
      <c r="A488" s="150">
        <v>169800.01</v>
      </c>
      <c r="B488" s="150">
        <v>4920</v>
      </c>
      <c r="C488">
        <f t="shared" si="55"/>
        <v>160</v>
      </c>
      <c r="D488" s="153"/>
      <c r="E488" s="153"/>
      <c r="F488" s="153"/>
      <c r="G488" s="153"/>
      <c r="H488" s="153"/>
      <c r="I488" s="153"/>
      <c r="J488" s="153"/>
      <c r="K488" s="153"/>
      <c r="L488" s="153"/>
      <c r="M488" s="153"/>
      <c r="N488" s="153"/>
      <c r="O488" s="153"/>
      <c r="P488" s="153"/>
      <c r="Q488" s="153"/>
      <c r="R488" s="153"/>
    </row>
    <row r="489" spans="1:18" ht="15">
      <c r="A489" s="150">
        <v>169900.01</v>
      </c>
      <c r="B489" s="150">
        <v>4760</v>
      </c>
      <c r="C489">
        <f t="shared" si="55"/>
        <v>161</v>
      </c>
      <c r="D489" s="153"/>
      <c r="E489" s="153"/>
      <c r="F489" s="153"/>
      <c r="G489" s="153"/>
      <c r="H489" s="153"/>
      <c r="I489" s="153"/>
      <c r="J489" s="153"/>
      <c r="K489" s="153"/>
      <c r="L489" s="153"/>
      <c r="M489" s="153"/>
      <c r="N489" s="153"/>
      <c r="O489" s="153"/>
      <c r="P489" s="153"/>
      <c r="Q489" s="153"/>
      <c r="R489" s="153"/>
    </row>
    <row r="490" spans="1:18" ht="15">
      <c r="A490" s="150">
        <v>170000.01</v>
      </c>
      <c r="B490" s="150">
        <v>4599</v>
      </c>
      <c r="C490">
        <f t="shared" si="55"/>
        <v>160</v>
      </c>
      <c r="D490" s="153"/>
      <c r="E490" s="153"/>
      <c r="F490" s="153"/>
      <c r="G490" s="153"/>
      <c r="H490" s="153"/>
      <c r="I490" s="153"/>
      <c r="J490" s="153"/>
      <c r="K490" s="153"/>
      <c r="L490" s="153"/>
      <c r="M490" s="153"/>
      <c r="N490" s="153"/>
      <c r="O490" s="153"/>
      <c r="P490" s="153"/>
      <c r="Q490" s="153"/>
      <c r="R490" s="153"/>
    </row>
    <row r="491" spans="1:18" ht="15">
      <c r="A491" s="150">
        <v>170100.01</v>
      </c>
      <c r="B491" s="150">
        <v>4439</v>
      </c>
      <c r="C491">
        <f t="shared" si="55"/>
        <v>161</v>
      </c>
      <c r="D491" s="153"/>
      <c r="E491" s="153"/>
      <c r="F491" s="153"/>
      <c r="G491" s="153"/>
      <c r="H491" s="153"/>
      <c r="I491" s="153"/>
      <c r="J491" s="153"/>
      <c r="K491" s="153"/>
      <c r="L491" s="153"/>
      <c r="M491" s="153"/>
      <c r="N491" s="153"/>
      <c r="O491" s="153"/>
      <c r="P491" s="153"/>
      <c r="Q491" s="153"/>
      <c r="R491" s="153"/>
    </row>
    <row r="492" spans="1:18" ht="15">
      <c r="A492" s="150">
        <v>170200.01</v>
      </c>
      <c r="B492" s="150">
        <v>4278</v>
      </c>
      <c r="C492">
        <f t="shared" si="55"/>
        <v>160</v>
      </c>
      <c r="D492" s="153"/>
      <c r="E492" s="153"/>
      <c r="F492" s="153"/>
      <c r="G492" s="153"/>
      <c r="H492" s="153"/>
      <c r="I492" s="153"/>
      <c r="J492" s="153"/>
      <c r="K492" s="153"/>
      <c r="L492" s="153"/>
      <c r="M492" s="153"/>
      <c r="N492" s="153"/>
      <c r="O492" s="153"/>
      <c r="P492" s="153"/>
      <c r="Q492" s="153"/>
      <c r="R492" s="153"/>
    </row>
    <row r="493" spans="1:18" ht="15">
      <c r="A493" s="150">
        <v>170300.01</v>
      </c>
      <c r="B493" s="150">
        <v>4118</v>
      </c>
      <c r="C493">
        <f t="shared" si="55"/>
        <v>160</v>
      </c>
      <c r="D493" s="153"/>
      <c r="E493" s="153"/>
      <c r="F493" s="153"/>
      <c r="G493" s="153"/>
      <c r="H493" s="153"/>
      <c r="I493" s="153"/>
      <c r="J493" s="153"/>
      <c r="K493" s="153"/>
      <c r="L493" s="153"/>
      <c r="M493" s="153"/>
      <c r="N493" s="153"/>
      <c r="O493" s="153"/>
      <c r="P493" s="153"/>
      <c r="Q493" s="153"/>
      <c r="R493" s="153"/>
    </row>
    <row r="494" spans="1:18" ht="15">
      <c r="A494" s="150">
        <v>170400.01</v>
      </c>
      <c r="B494" s="150">
        <v>3958</v>
      </c>
      <c r="C494">
        <f t="shared" si="55"/>
        <v>160</v>
      </c>
      <c r="D494" s="153"/>
      <c r="E494" s="153"/>
      <c r="F494" s="153"/>
      <c r="G494" s="153"/>
      <c r="H494" s="153"/>
      <c r="I494" s="153"/>
      <c r="J494" s="153"/>
      <c r="K494" s="153"/>
      <c r="L494" s="153"/>
      <c r="M494" s="153"/>
      <c r="N494" s="153"/>
      <c r="O494" s="153"/>
      <c r="P494" s="153"/>
      <c r="Q494" s="153"/>
      <c r="R494" s="153"/>
    </row>
    <row r="495" spans="1:18" ht="15">
      <c r="A495" s="150">
        <v>170500.01</v>
      </c>
      <c r="B495" s="150">
        <v>3798</v>
      </c>
      <c r="C495">
        <f t="shared" si="55"/>
        <v>159</v>
      </c>
      <c r="D495" s="153"/>
      <c r="E495" s="153"/>
      <c r="F495" s="153"/>
      <c r="G495" s="153"/>
      <c r="H495" s="153"/>
      <c r="I495" s="153"/>
      <c r="J495" s="153"/>
      <c r="K495" s="153"/>
      <c r="L495" s="153"/>
      <c r="M495" s="153"/>
      <c r="N495" s="153"/>
      <c r="O495" s="153"/>
      <c r="P495" s="153"/>
      <c r="Q495" s="153"/>
      <c r="R495" s="153"/>
    </row>
    <row r="496" spans="1:18" ht="15">
      <c r="A496" s="150">
        <v>170600.01</v>
      </c>
      <c r="B496" s="150">
        <v>3639</v>
      </c>
      <c r="C496">
        <f t="shared" si="55"/>
        <v>160</v>
      </c>
      <c r="D496" s="153"/>
      <c r="E496" s="153"/>
      <c r="F496" s="153"/>
      <c r="G496" s="153"/>
      <c r="H496" s="153"/>
      <c r="I496" s="153"/>
      <c r="J496" s="153"/>
      <c r="K496" s="153"/>
      <c r="L496" s="153"/>
      <c r="M496" s="153"/>
      <c r="N496" s="153"/>
      <c r="O496" s="153"/>
      <c r="P496" s="153"/>
      <c r="Q496" s="153"/>
      <c r="R496" s="153"/>
    </row>
    <row r="497" spans="1:18" ht="15">
      <c r="A497" s="150">
        <v>170700.01</v>
      </c>
      <c r="B497" s="150">
        <v>3479</v>
      </c>
      <c r="C497">
        <f t="shared" si="55"/>
        <v>159</v>
      </c>
      <c r="D497" s="153"/>
      <c r="E497" s="153"/>
      <c r="F497" s="153"/>
      <c r="G497" s="153"/>
      <c r="H497" s="153"/>
      <c r="I497" s="153"/>
      <c r="J497" s="153"/>
      <c r="K497" s="153"/>
      <c r="L497" s="153"/>
      <c r="M497" s="153"/>
      <c r="N497" s="153"/>
      <c r="O497" s="153"/>
      <c r="P497" s="153"/>
      <c r="Q497" s="153"/>
      <c r="R497" s="153"/>
    </row>
    <row r="498" spans="1:18" ht="15">
      <c r="A498" s="150">
        <v>170800.01</v>
      </c>
      <c r="B498" s="150">
        <v>3320</v>
      </c>
      <c r="C498">
        <f t="shared" si="55"/>
        <v>160</v>
      </c>
      <c r="D498" s="153"/>
      <c r="E498" s="153"/>
      <c r="F498" s="153"/>
      <c r="G498" s="153"/>
      <c r="H498" s="153"/>
      <c r="I498" s="153"/>
      <c r="J498" s="153"/>
      <c r="K498" s="153"/>
      <c r="L498" s="153"/>
      <c r="M498" s="153"/>
      <c r="N498" s="153"/>
      <c r="O498" s="153"/>
      <c r="P498" s="153"/>
      <c r="Q498" s="153"/>
      <c r="R498" s="153"/>
    </row>
    <row r="499" spans="1:18" ht="15">
      <c r="A499" s="150">
        <v>170900.01</v>
      </c>
      <c r="B499" s="150">
        <v>3160</v>
      </c>
      <c r="C499">
        <f t="shared" si="55"/>
        <v>159</v>
      </c>
      <c r="D499" s="153"/>
      <c r="E499" s="153"/>
      <c r="F499" s="153"/>
      <c r="G499" s="153"/>
      <c r="H499" s="153"/>
      <c r="I499" s="153"/>
      <c r="J499" s="153"/>
      <c r="K499" s="153"/>
      <c r="L499" s="153"/>
      <c r="M499" s="153"/>
      <c r="N499" s="153"/>
      <c r="O499" s="153"/>
      <c r="P499" s="153"/>
      <c r="Q499" s="153"/>
      <c r="R499" s="153"/>
    </row>
    <row r="500" spans="1:18" ht="15">
      <c r="A500" s="150">
        <v>171000.01</v>
      </c>
      <c r="B500" s="150">
        <v>3001</v>
      </c>
      <c r="C500">
        <f t="shared" si="55"/>
        <v>159</v>
      </c>
      <c r="D500" s="153"/>
      <c r="E500" s="153"/>
      <c r="F500" s="153"/>
      <c r="G500" s="153"/>
      <c r="H500" s="153"/>
      <c r="I500" s="153"/>
      <c r="J500" s="153"/>
      <c r="K500" s="153"/>
      <c r="L500" s="153"/>
      <c r="M500" s="153"/>
      <c r="N500" s="153"/>
      <c r="O500" s="153"/>
      <c r="P500" s="153"/>
      <c r="Q500" s="153"/>
      <c r="R500" s="153"/>
    </row>
    <row r="501" spans="1:18" ht="15">
      <c r="A501" s="150">
        <v>171100.01</v>
      </c>
      <c r="B501" s="150">
        <v>2842</v>
      </c>
      <c r="C501">
        <f t="shared" si="55"/>
        <v>159</v>
      </c>
      <c r="D501" s="153"/>
      <c r="E501" s="153"/>
      <c r="F501" s="153"/>
      <c r="G501" s="153"/>
      <c r="H501" s="153"/>
      <c r="I501" s="153"/>
      <c r="J501" s="153"/>
      <c r="K501" s="153"/>
      <c r="L501" s="153"/>
      <c r="M501" s="153"/>
      <c r="N501" s="153"/>
      <c r="O501" s="153"/>
      <c r="P501" s="153"/>
      <c r="Q501" s="153"/>
      <c r="R501" s="153"/>
    </row>
    <row r="502" spans="1:18" ht="15">
      <c r="A502" s="150">
        <v>171200.01</v>
      </c>
      <c r="B502" s="150">
        <v>2683</v>
      </c>
      <c r="C502">
        <f t="shared" si="55"/>
        <v>159</v>
      </c>
      <c r="D502" s="153"/>
      <c r="E502" s="153"/>
      <c r="F502" s="153"/>
      <c r="G502" s="153"/>
      <c r="H502" s="153"/>
      <c r="I502" s="153"/>
      <c r="J502" s="153"/>
      <c r="K502" s="153"/>
      <c r="L502" s="153"/>
      <c r="M502" s="153"/>
      <c r="N502" s="153"/>
      <c r="O502" s="153"/>
      <c r="P502" s="153"/>
      <c r="Q502" s="153"/>
      <c r="R502" s="153"/>
    </row>
    <row r="503" spans="1:18" ht="15">
      <c r="A503" s="150">
        <v>171300.01</v>
      </c>
      <c r="B503" s="150">
        <v>2524</v>
      </c>
      <c r="C503">
        <f t="shared" si="55"/>
        <v>158</v>
      </c>
      <c r="D503" s="153"/>
      <c r="E503" s="153"/>
      <c r="F503" s="153"/>
      <c r="G503" s="153"/>
      <c r="H503" s="153"/>
      <c r="I503" s="153"/>
      <c r="J503" s="153"/>
      <c r="K503" s="153"/>
      <c r="L503" s="153"/>
      <c r="M503" s="153"/>
      <c r="N503" s="153"/>
      <c r="O503" s="153"/>
      <c r="P503" s="153"/>
      <c r="Q503" s="153"/>
      <c r="R503" s="153"/>
    </row>
    <row r="504" spans="1:18" ht="15">
      <c r="A504" s="150">
        <v>171400.01</v>
      </c>
      <c r="B504" s="150">
        <v>2366</v>
      </c>
      <c r="C504">
        <f t="shared" si="55"/>
        <v>159</v>
      </c>
      <c r="D504" s="153"/>
      <c r="E504" s="153"/>
      <c r="F504" s="153"/>
      <c r="G504" s="153"/>
      <c r="H504" s="153"/>
      <c r="I504" s="153"/>
      <c r="J504" s="153"/>
      <c r="K504" s="153"/>
      <c r="L504" s="153"/>
      <c r="M504" s="153"/>
      <c r="N504" s="153"/>
      <c r="O504" s="153"/>
      <c r="P504" s="153"/>
      <c r="Q504" s="153"/>
      <c r="R504" s="153"/>
    </row>
    <row r="505" spans="1:18" ht="15">
      <c r="A505" s="150">
        <v>171500.01</v>
      </c>
      <c r="B505" s="150">
        <v>2207</v>
      </c>
      <c r="C505">
        <f t="shared" si="55"/>
        <v>158</v>
      </c>
      <c r="D505" s="153"/>
      <c r="E505" s="153"/>
      <c r="F505" s="153"/>
      <c r="G505" s="153"/>
      <c r="H505" s="153"/>
      <c r="I505" s="153"/>
      <c r="J505" s="153"/>
      <c r="K505" s="153"/>
      <c r="L505" s="153"/>
      <c r="M505" s="153"/>
      <c r="N505" s="153"/>
      <c r="O505" s="153"/>
      <c r="P505" s="153"/>
      <c r="Q505" s="153"/>
      <c r="R505" s="153"/>
    </row>
    <row r="506" spans="1:18" ht="15">
      <c r="A506" s="150">
        <v>171600.01</v>
      </c>
      <c r="B506" s="150">
        <v>2049</v>
      </c>
      <c r="C506">
        <f t="shared" si="55"/>
        <v>159</v>
      </c>
      <c r="D506" s="153"/>
      <c r="E506" s="153"/>
      <c r="F506" s="153"/>
      <c r="G506" s="153"/>
      <c r="H506" s="153"/>
      <c r="I506" s="153"/>
      <c r="J506" s="153"/>
      <c r="K506" s="153"/>
      <c r="L506" s="153"/>
      <c r="M506" s="153"/>
      <c r="N506" s="153"/>
      <c r="O506" s="153"/>
      <c r="P506" s="153"/>
      <c r="Q506" s="153"/>
      <c r="R506" s="153"/>
    </row>
    <row r="507" spans="1:18" ht="15">
      <c r="A507" s="150">
        <v>171700.01</v>
      </c>
      <c r="B507" s="150">
        <v>1890</v>
      </c>
      <c r="C507">
        <f t="shared" si="55"/>
        <v>158</v>
      </c>
      <c r="D507" s="153"/>
      <c r="E507" s="153"/>
      <c r="F507" s="153"/>
      <c r="G507" s="153"/>
      <c r="H507" s="153"/>
      <c r="I507" s="153"/>
      <c r="J507" s="153"/>
      <c r="K507" s="153"/>
      <c r="L507" s="153"/>
      <c r="M507" s="153"/>
      <c r="N507" s="153"/>
      <c r="O507" s="153"/>
      <c r="P507" s="153"/>
      <c r="Q507" s="153"/>
      <c r="R507" s="153"/>
    </row>
    <row r="508" spans="1:18" ht="15">
      <c r="A508" s="150">
        <v>171800.01</v>
      </c>
      <c r="B508" s="150">
        <v>1732</v>
      </c>
      <c r="C508">
        <f t="shared" si="55"/>
        <v>158</v>
      </c>
      <c r="D508" s="153"/>
      <c r="E508" s="153"/>
      <c r="F508" s="153"/>
      <c r="G508" s="153"/>
      <c r="H508" s="153"/>
      <c r="I508" s="153"/>
      <c r="J508" s="153"/>
      <c r="K508" s="153"/>
      <c r="L508" s="153"/>
      <c r="M508" s="153"/>
      <c r="N508" s="153"/>
      <c r="O508" s="153"/>
      <c r="P508" s="153"/>
      <c r="Q508" s="153"/>
      <c r="R508" s="153"/>
    </row>
    <row r="509" spans="1:18" ht="15">
      <c r="A509" s="150">
        <v>171900.01</v>
      </c>
      <c r="B509" s="150">
        <v>1574</v>
      </c>
      <c r="C509">
        <f t="shared" si="55"/>
        <v>158</v>
      </c>
      <c r="D509" s="153"/>
      <c r="E509" s="153"/>
      <c r="F509" s="153"/>
      <c r="G509" s="153"/>
      <c r="H509" s="153"/>
      <c r="I509" s="153"/>
      <c r="J509" s="153"/>
      <c r="K509" s="153"/>
      <c r="L509" s="153"/>
      <c r="M509" s="153"/>
      <c r="N509" s="153"/>
      <c r="O509" s="153"/>
      <c r="P509" s="153"/>
      <c r="Q509" s="153"/>
      <c r="R509" s="153"/>
    </row>
    <row r="510" spans="1:18" ht="15">
      <c r="A510" s="150">
        <v>172000.01</v>
      </c>
      <c r="B510" s="150">
        <v>1416</v>
      </c>
      <c r="C510">
        <f t="shared" si="55"/>
        <v>158</v>
      </c>
      <c r="D510" s="153"/>
      <c r="E510" s="153"/>
      <c r="F510" s="153"/>
      <c r="G510" s="153"/>
      <c r="H510" s="153"/>
      <c r="I510" s="153"/>
      <c r="J510" s="153"/>
      <c r="K510" s="153"/>
      <c r="L510" s="153"/>
      <c r="M510" s="153"/>
      <c r="N510" s="153"/>
      <c r="O510" s="153"/>
      <c r="P510" s="153"/>
      <c r="Q510" s="153"/>
      <c r="R510" s="153"/>
    </row>
    <row r="511" spans="1:18" ht="15">
      <c r="A511" s="150">
        <v>172100.01</v>
      </c>
      <c r="B511" s="150">
        <v>1258</v>
      </c>
      <c r="C511">
        <f t="shared" si="55"/>
        <v>157</v>
      </c>
      <c r="D511" s="153"/>
      <c r="E511" s="153"/>
      <c r="F511" s="153"/>
      <c r="G511" s="153"/>
      <c r="H511" s="153"/>
      <c r="I511" s="153"/>
      <c r="J511" s="153"/>
      <c r="K511" s="153"/>
      <c r="L511" s="153"/>
      <c r="M511" s="153"/>
      <c r="N511" s="153"/>
      <c r="O511" s="153"/>
      <c r="P511" s="153"/>
      <c r="Q511" s="153"/>
      <c r="R511" s="153"/>
    </row>
    <row r="512" spans="1:18" ht="15">
      <c r="A512" s="150">
        <v>172200.01</v>
      </c>
      <c r="B512" s="150">
        <v>1101</v>
      </c>
      <c r="C512">
        <f t="shared" si="55"/>
        <v>158</v>
      </c>
      <c r="D512" s="153"/>
      <c r="E512" s="153"/>
      <c r="F512" s="153"/>
      <c r="G512" s="153"/>
      <c r="H512" s="153"/>
      <c r="I512" s="153"/>
      <c r="J512" s="153"/>
      <c r="K512" s="153"/>
      <c r="L512" s="153"/>
      <c r="M512" s="153"/>
      <c r="N512" s="153"/>
      <c r="O512" s="153"/>
      <c r="P512" s="153"/>
      <c r="Q512" s="153"/>
      <c r="R512" s="153"/>
    </row>
    <row r="513" spans="1:18" ht="15">
      <c r="A513" s="150">
        <v>172300.01</v>
      </c>
      <c r="B513" s="150">
        <v>943</v>
      </c>
      <c r="C513">
        <f t="shared" si="55"/>
        <v>157</v>
      </c>
      <c r="D513" s="153"/>
      <c r="E513" s="153"/>
      <c r="F513" s="153"/>
      <c r="G513" s="153"/>
      <c r="H513" s="153"/>
      <c r="I513" s="153"/>
      <c r="J513" s="153"/>
      <c r="K513" s="153"/>
      <c r="L513" s="153"/>
      <c r="M513" s="153"/>
      <c r="N513" s="153"/>
      <c r="O513" s="153"/>
      <c r="P513" s="153"/>
      <c r="Q513" s="153"/>
      <c r="R513" s="153"/>
    </row>
    <row r="514" spans="1:18" ht="15">
      <c r="A514" s="150">
        <v>172400.01</v>
      </c>
      <c r="B514" s="150">
        <v>786</v>
      </c>
      <c r="C514">
        <f t="shared" si="55"/>
        <v>158</v>
      </c>
      <c r="D514" s="153"/>
      <c r="E514" s="153"/>
      <c r="F514" s="153"/>
      <c r="G514" s="153"/>
      <c r="H514" s="153"/>
      <c r="I514" s="153"/>
      <c r="J514" s="153"/>
      <c r="K514" s="153"/>
      <c r="L514" s="153"/>
      <c r="M514" s="153"/>
      <c r="N514" s="153"/>
      <c r="O514" s="153"/>
      <c r="P514" s="153"/>
      <c r="Q514" s="153"/>
      <c r="R514" s="153"/>
    </row>
    <row r="515" spans="1:18" ht="15">
      <c r="A515" s="150">
        <v>172500.01</v>
      </c>
      <c r="B515" s="150">
        <v>628</v>
      </c>
      <c r="C515">
        <f t="shared" si="55"/>
        <v>157</v>
      </c>
      <c r="D515" s="153"/>
      <c r="E515" s="153"/>
      <c r="F515" s="153"/>
      <c r="G515" s="153"/>
      <c r="H515" s="153"/>
      <c r="I515" s="153"/>
      <c r="J515" s="153"/>
      <c r="K515" s="153"/>
      <c r="L515" s="153"/>
      <c r="M515" s="153"/>
      <c r="N515" s="153"/>
      <c r="O515" s="153"/>
      <c r="P515" s="153"/>
      <c r="Q515" s="153"/>
      <c r="R515" s="153"/>
    </row>
    <row r="516" spans="1:18" ht="15">
      <c r="A516" s="150">
        <v>172600.01</v>
      </c>
      <c r="B516" s="150">
        <v>471</v>
      </c>
      <c r="C516">
        <f t="shared" si="55"/>
        <v>157</v>
      </c>
      <c r="D516" s="153"/>
      <c r="E516" s="153"/>
      <c r="F516" s="153"/>
      <c r="G516" s="153"/>
      <c r="H516" s="153"/>
      <c r="I516" s="153"/>
      <c r="J516" s="153"/>
      <c r="K516" s="153"/>
      <c r="L516" s="153"/>
      <c r="M516" s="153"/>
      <c r="N516" s="153"/>
      <c r="O516" s="153"/>
      <c r="P516" s="153"/>
      <c r="Q516" s="153"/>
      <c r="R516" s="153"/>
    </row>
    <row r="517" spans="1:18" ht="15">
      <c r="A517" s="150">
        <v>172700.01</v>
      </c>
      <c r="B517" s="150">
        <v>314</v>
      </c>
      <c r="C517">
        <f t="shared" si="55"/>
        <v>157</v>
      </c>
      <c r="D517" s="153"/>
      <c r="E517" s="153"/>
      <c r="F517" s="153"/>
      <c r="G517" s="153"/>
      <c r="H517" s="153"/>
      <c r="I517" s="153"/>
      <c r="J517" s="153"/>
      <c r="K517" s="153"/>
      <c r="L517" s="153"/>
      <c r="M517" s="153"/>
      <c r="N517" s="153"/>
      <c r="O517" s="153"/>
      <c r="P517" s="153"/>
      <c r="Q517" s="153"/>
      <c r="R517" s="153"/>
    </row>
    <row r="518" spans="1:18" ht="15">
      <c r="A518" s="150">
        <v>172800.01</v>
      </c>
      <c r="B518" s="150">
        <v>157</v>
      </c>
      <c r="C518">
        <f t="shared" si="55"/>
        <v>157</v>
      </c>
      <c r="D518" s="153"/>
      <c r="E518" s="153"/>
      <c r="F518" s="153"/>
      <c r="G518" s="153"/>
      <c r="H518" s="153"/>
      <c r="I518" s="153"/>
      <c r="J518" s="153"/>
      <c r="K518" s="153"/>
      <c r="L518" s="153"/>
      <c r="M518" s="153"/>
      <c r="N518" s="153"/>
      <c r="O518" s="153"/>
      <c r="P518" s="153"/>
      <c r="Q518" s="153"/>
      <c r="R518" s="153"/>
    </row>
    <row r="519" spans="1:18" ht="15">
      <c r="A519" s="150">
        <v>172900.01</v>
      </c>
      <c r="B519" s="151">
        <v>0</v>
      </c>
      <c r="C519">
        <v>0</v>
      </c>
      <c r="D519" s="153"/>
      <c r="E519" s="153"/>
      <c r="F519" s="153"/>
      <c r="G519" s="153"/>
      <c r="H519" s="153"/>
      <c r="I519" s="153"/>
      <c r="J519" s="153"/>
      <c r="K519" s="153"/>
      <c r="L519" s="153"/>
      <c r="M519" s="153"/>
      <c r="N519" s="153"/>
      <c r="O519" s="153"/>
      <c r="P519" s="153"/>
      <c r="Q519" s="153"/>
      <c r="R519" s="153"/>
    </row>
  </sheetData>
  <sheetProtection/>
  <mergeCells count="213">
    <mergeCell ref="A131:B131"/>
    <mergeCell ref="A132:B132"/>
    <mergeCell ref="A133:B133"/>
    <mergeCell ref="A161:B161"/>
    <mergeCell ref="A162:B162"/>
    <mergeCell ref="A62:B62"/>
    <mergeCell ref="A67:B67"/>
    <mergeCell ref="A207:B207"/>
    <mergeCell ref="J195:N195"/>
    <mergeCell ref="A167:B167"/>
    <mergeCell ref="A168:B168"/>
    <mergeCell ref="A169:B169"/>
    <mergeCell ref="A154:B154"/>
    <mergeCell ref="A152:B152"/>
    <mergeCell ref="A153:B153"/>
    <mergeCell ref="A155:B155"/>
    <mergeCell ref="A156:B156"/>
    <mergeCell ref="A157:B157"/>
    <mergeCell ref="A158:B158"/>
    <mergeCell ref="A260:B260"/>
    <mergeCell ref="A200:B200"/>
    <mergeCell ref="A201:B201"/>
    <mergeCell ref="A202:B202"/>
    <mergeCell ref="A203:B203"/>
    <mergeCell ref="A204:B204"/>
    <mergeCell ref="A205:B205"/>
    <mergeCell ref="A212:B212"/>
    <mergeCell ref="A213:B213"/>
    <mergeCell ref="A206:B206"/>
    <mergeCell ref="A256:B256"/>
    <mergeCell ref="A257:B257"/>
    <mergeCell ref="A258:B258"/>
    <mergeCell ref="A159:B159"/>
    <mergeCell ref="A160:B160"/>
    <mergeCell ref="A259:B259"/>
    <mergeCell ref="A163:B163"/>
    <mergeCell ref="A164:B164"/>
    <mergeCell ref="A165:B165"/>
    <mergeCell ref="A166:B166"/>
    <mergeCell ref="A128:B128"/>
    <mergeCell ref="A129:B129"/>
    <mergeCell ref="A245:B245"/>
    <mergeCell ref="A246:B246"/>
    <mergeCell ref="A247:B247"/>
    <mergeCell ref="A248:B248"/>
    <mergeCell ref="A208:B208"/>
    <mergeCell ref="A209:B209"/>
    <mergeCell ref="A210:B210"/>
    <mergeCell ref="A211:B211"/>
    <mergeCell ref="C137:G137"/>
    <mergeCell ref="J137:L137"/>
    <mergeCell ref="J138:L138"/>
    <mergeCell ref="J139:L139"/>
    <mergeCell ref="J140:L140"/>
    <mergeCell ref="J141:L141"/>
    <mergeCell ref="J142:L142"/>
    <mergeCell ref="J143:L143"/>
    <mergeCell ref="J144:L144"/>
    <mergeCell ref="J145:L145"/>
    <mergeCell ref="J146:L146"/>
    <mergeCell ref="J147:L147"/>
    <mergeCell ref="J148:L148"/>
    <mergeCell ref="J149:L149"/>
    <mergeCell ref="J150:L150"/>
    <mergeCell ref="J151:L151"/>
    <mergeCell ref="J152:L152"/>
    <mergeCell ref="J153:L153"/>
    <mergeCell ref="J155:L155"/>
    <mergeCell ref="J156:L156"/>
    <mergeCell ref="J157:L157"/>
    <mergeCell ref="J158:L158"/>
    <mergeCell ref="J160:L160"/>
    <mergeCell ref="J161:L161"/>
    <mergeCell ref="J162:L162"/>
    <mergeCell ref="J163:L163"/>
    <mergeCell ref="J164:L164"/>
    <mergeCell ref="J165:L165"/>
    <mergeCell ref="J167:L167"/>
    <mergeCell ref="J169:N169"/>
    <mergeCell ref="J170:N170"/>
    <mergeCell ref="J171:N171"/>
    <mergeCell ref="J173:N173"/>
    <mergeCell ref="J174:N174"/>
    <mergeCell ref="J175:N175"/>
    <mergeCell ref="J176:N176"/>
    <mergeCell ref="J177:N177"/>
    <mergeCell ref="J180:N180"/>
    <mergeCell ref="J182:N182"/>
    <mergeCell ref="J184:L184"/>
    <mergeCell ref="J185:N185"/>
    <mergeCell ref="J186:N186"/>
    <mergeCell ref="J187:N187"/>
    <mergeCell ref="J188:N188"/>
    <mergeCell ref="J190:N190"/>
    <mergeCell ref="J192:N192"/>
    <mergeCell ref="J193:N193"/>
    <mergeCell ref="J194:N194"/>
    <mergeCell ref="J197:N197"/>
    <mergeCell ref="A199:C199"/>
    <mergeCell ref="J199:N199"/>
    <mergeCell ref="J200:N200"/>
    <mergeCell ref="J201:N201"/>
    <mergeCell ref="J205:N205"/>
    <mergeCell ref="J207:L207"/>
    <mergeCell ref="J208:L208"/>
    <mergeCell ref="J209:L209"/>
    <mergeCell ref="A242:N242"/>
    <mergeCell ref="A264:C264"/>
    <mergeCell ref="E264:I264"/>
    <mergeCell ref="A249:B249"/>
    <mergeCell ref="A250:B250"/>
    <mergeCell ref="A251:B251"/>
    <mergeCell ref="A252:B252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B44"/>
    <mergeCell ref="A47:B47"/>
    <mergeCell ref="A48:B48"/>
    <mergeCell ref="A49:B49"/>
    <mergeCell ref="A50:B50"/>
    <mergeCell ref="A52:B52"/>
    <mergeCell ref="A53:B53"/>
    <mergeCell ref="A54:B54"/>
    <mergeCell ref="A55:B55"/>
    <mergeCell ref="A57:B57"/>
    <mergeCell ref="A94:B94"/>
    <mergeCell ref="A76:B76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18:B118"/>
    <mergeCell ref="A119:B119"/>
    <mergeCell ref="A120:B120"/>
    <mergeCell ref="A121:B121"/>
    <mergeCell ref="A122:B122"/>
    <mergeCell ref="A1:B1"/>
    <mergeCell ref="A112:B112"/>
    <mergeCell ref="A113:B113"/>
    <mergeCell ref="A114:B114"/>
    <mergeCell ref="A115:B115"/>
    <mergeCell ref="A216:B216"/>
    <mergeCell ref="A217:B217"/>
    <mergeCell ref="A220:B220"/>
    <mergeCell ref="A221:B221"/>
    <mergeCell ref="A222:B222"/>
    <mergeCell ref="A223:B223"/>
    <mergeCell ref="A224:B224"/>
    <mergeCell ref="A227:B227"/>
    <mergeCell ref="A228:B228"/>
    <mergeCell ref="A229:B229"/>
    <mergeCell ref="A231:B231"/>
    <mergeCell ref="A232:B232"/>
    <mergeCell ref="A270:B270"/>
    <mergeCell ref="A233:B233"/>
    <mergeCell ref="A234:B234"/>
    <mergeCell ref="A235:B235"/>
    <mergeCell ref="A266:B266"/>
    <mergeCell ref="A267:B267"/>
    <mergeCell ref="A268:B268"/>
    <mergeCell ref="A253:B253"/>
    <mergeCell ref="A254:B254"/>
    <mergeCell ref="A255:B255"/>
  </mergeCells>
  <dataValidations count="1">
    <dataValidation type="list" allowBlank="1" showInputMessage="1" showErrorMessage="1" sqref="F1">
      <formula1>tabla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abassanett</dc:creator>
  <cp:keywords/>
  <dc:description/>
  <cp:lastModifiedBy>Usuario de Windows</cp:lastModifiedBy>
  <dcterms:created xsi:type="dcterms:W3CDTF">2017-01-16T10:17:28Z</dcterms:created>
  <dcterms:modified xsi:type="dcterms:W3CDTF">2021-07-02T04:52:32Z</dcterms:modified>
  <cp:category/>
  <cp:version/>
  <cp:contentType/>
  <cp:contentStatus/>
</cp:coreProperties>
</file>